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72-08 руб завтрак 7-11 лет " sheetId="1" state="visible" r:id="rId2"/>
    <sheet name="72-08  обед 7-11 лет  " sheetId="2" state="visible" r:id="rId3"/>
    <sheet name="72-08 руб завтрак 12-18 лет" sheetId="3" state="visible" r:id="rId4"/>
    <sheet name="147 руб 7-11 лет " sheetId="4" state="visible" r:id="rId5"/>
    <sheet name="147 руб 12-18 лет " sheetId="5" state="visible" r:id="rId6"/>
    <sheet name="127-49 руб 7-11 лет  коррек" sheetId="6" state="hidden" r:id="rId7"/>
    <sheet name="139-29  руб 12-18 лет коррекц " sheetId="7" state="hidden" r:id="rId8"/>
    <sheet name="148 руб 12-18 лет " sheetId="8" state="visible" r:id="rId9"/>
    <sheet name="30 руб  кадеты 7-11 лет  " sheetId="9" state="visible" r:id="rId10"/>
    <sheet name="Лист1" sheetId="10" state="visible" r:id="rId11"/>
  </sheets>
  <definedNames>
    <definedName function="false" hidden="false" localSheetId="5" name="_xlnm.Print_Area" vbProcedure="false">'127-49 руб 7-11 лет  коррек'!$A$1:$N$159</definedName>
    <definedName function="false" hidden="false" localSheetId="6" name="_xlnm.Print_Area" vbProcedure="false">'139-29  руб 12-18 лет коррекц '!$A$1:$N$161</definedName>
    <definedName function="false" hidden="false" localSheetId="4" name="_xlnm.Print_Area" vbProcedure="false">'147 руб 12-18 лет '!$A$3:$G$160</definedName>
    <definedName function="false" hidden="false" localSheetId="3" name="_xlnm.Print_Area" vbProcedure="false">'147 руб 7-11 лет '!$A$3:$G$161</definedName>
    <definedName function="false" hidden="false" localSheetId="7" name="_xlnm.Print_Area" vbProcedure="false">'148 руб 12-18 лет '!$A$3:$G$160</definedName>
    <definedName function="false" hidden="false" localSheetId="8" name="_xlnm.Print_Area" vbProcedure="false">'30 руб  кадеты 7-11 лет  '!$A$3:$G$79</definedName>
    <definedName function="false" hidden="false" localSheetId="1" name="_xlnm.Print_Area" vbProcedure="false">'72-08  обед 7-11 лет  '!$A$3:$G$94</definedName>
    <definedName function="false" hidden="false" localSheetId="2" name="_xlnm.Print_Area" vbProcedure="false">'72-08 руб завтрак 12-18 лет'!$A$3:$G$84</definedName>
    <definedName function="false" hidden="false" localSheetId="0" name="_xlnm.Print_Area" vbProcedure="false">'72-08 руб завтрак 7-11 лет '!$A$3:$G$84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<sst xmlns="http://schemas.openxmlformats.org/spreadsheetml/2006/main" count="1608" uniqueCount="259">
  <si>
    <t xml:space="preserve">Меню для учащихся, получающих бюджетные средства на питание в размере 72,08 руб. (завтрак)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</si>
  <si>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</si>
  <si>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 xml:space="preserve">№ рец.</t>
  </si>
  <si>
    <t xml:space="preserve">Прием пищи, наименование блюда</t>
  </si>
  <si>
    <t xml:space="preserve">Масса порции, г.</t>
  </si>
  <si>
    <t xml:space="preserve">Пищевые вещества, г.</t>
  </si>
  <si>
    <t xml:space="preserve">Энергет. ценность (ккал)</t>
  </si>
  <si>
    <t xml:space="preserve">Б</t>
  </si>
  <si>
    <t xml:space="preserve">Ж</t>
  </si>
  <si>
    <t xml:space="preserve">У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</si>
  <si>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</si>
  <si>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</si>
  <si>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</si>
  <si>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</si>
  <si>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</si>
  <si>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</si>
  <si>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</si>
  <si>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ДЕНЬ 1. ЭНЕРГЕТИЧЕСКАЯ И ПИЩЕВАЯ ЦЕННОСТЬ ЗА ДЕНЬ</t>
  </si>
  <si>
    <t xml:space="preserve">ЗАВТРАК</t>
  </si>
  <si>
    <t xml:space="preserve">15/17</t>
  </si>
  <si>
    <t xml:space="preserve">Сыр (порциями)</t>
  </si>
  <si>
    <t xml:space="preserve">14/17</t>
  </si>
  <si>
    <t xml:space="preserve">Масло сливочное (порциями)</t>
  </si>
  <si>
    <t xml:space="preserve">182/17</t>
  </si>
  <si>
    <t xml:space="preserve">Каша молочная 5 злаков (жидкая) с маслом сливочным</t>
  </si>
  <si>
    <t xml:space="preserve">Пряник</t>
  </si>
  <si>
    <t xml:space="preserve">414/16</t>
  </si>
  <si>
    <t xml:space="preserve">Кофейный напиток с молоком</t>
  </si>
  <si>
    <t xml:space="preserve">Хлеб пшеничный</t>
  </si>
  <si>
    <t xml:space="preserve">Итого:</t>
  </si>
  <si>
    <t xml:space="preserve">ДЕНЬ 2. ЭНЕРГЕТИЧЕСКАЯ И ПИЩЕВАЯ ЦЕННОСТЬ ЗА ДЕНЬ</t>
  </si>
  <si>
    <t xml:space="preserve"> ТТК 370</t>
  </si>
  <si>
    <t xml:space="preserve">Голубцы ленивые </t>
  </si>
  <si>
    <t xml:space="preserve">312/17</t>
  </si>
  <si>
    <t xml:space="preserve">Пюре картофельное</t>
  </si>
  <si>
    <t xml:space="preserve">411/16</t>
  </si>
  <si>
    <t xml:space="preserve">Чай с сахаром</t>
  </si>
  <si>
    <t xml:space="preserve">ДЕНЬ 3. ЭНЕРГЕТИЧЕСКАЯ И ПИЩЕВАЯ ЦЕННОСТЬ ЗА ДЕНЬ</t>
  </si>
  <si>
    <t xml:space="preserve">54-283/23</t>
  </si>
  <si>
    <t xml:space="preserve">Свекла отварная дольками</t>
  </si>
  <si>
    <t xml:space="preserve"> ТТК 269</t>
  </si>
  <si>
    <t xml:space="preserve">Жаркое "Пикантное"</t>
  </si>
  <si>
    <t xml:space="preserve">394/16</t>
  </si>
  <si>
    <t xml:space="preserve">Компот из плодов или ягод сушенных (изюм)</t>
  </si>
  <si>
    <t xml:space="preserve">ДЕНЬ 4. ЭНЕРГЕТИЧЕСКАЯ И ПИЩЕВАЯ ЦЕННОСТЬ ЗА ДЕНЬ</t>
  </si>
  <si>
    <t xml:space="preserve">Яблоко</t>
  </si>
  <si>
    <t xml:space="preserve">291/17</t>
  </si>
  <si>
    <t xml:space="preserve">Плов из филе птицы</t>
  </si>
  <si>
    <t xml:space="preserve">ДЕНЬ 5. ЭНЕРГЕТИЧЕСКАЯ И ПИЩЕВАЯ ЦЕННОСТЬ ЗА ДЕНЬ</t>
  </si>
  <si>
    <t xml:space="preserve"> ТТК 298</t>
  </si>
  <si>
    <t xml:space="preserve">"Чикенболлы" в соусе </t>
  </si>
  <si>
    <t xml:space="preserve">309/17</t>
  </si>
  <si>
    <t xml:space="preserve">Макаронные изделия отварные</t>
  </si>
  <si>
    <t xml:space="preserve">ДЕНЬ 6. ЭНЕРГЕТИЧЕСКАЯ И ПИЩЕВАЯ ЦЕННОСТЬ ЗА ДЕНЬ</t>
  </si>
  <si>
    <t xml:space="preserve">Каша молочная геркулесовая (жидкая) с маслом сливочным</t>
  </si>
  <si>
    <t xml:space="preserve">ДЕНЬ 7. ЭНЕРГЕТИЧЕСКАЯ И ПИЩЕВАЯ ЦЕННОСТЬ ЗА ДЕНЬ</t>
  </si>
  <si>
    <t xml:space="preserve"> ТТК 243</t>
  </si>
  <si>
    <t xml:space="preserve">Биточки "Чикенфиш"</t>
  </si>
  <si>
    <t xml:space="preserve">304/17</t>
  </si>
  <si>
    <t xml:space="preserve">Рис отварной</t>
  </si>
  <si>
    <t xml:space="preserve">Печенье</t>
  </si>
  <si>
    <t xml:space="preserve"> ТТК 323</t>
  </si>
  <si>
    <t xml:space="preserve">Напиток каркаде с сахаром</t>
  </si>
  <si>
    <t xml:space="preserve">ДЕНЬ 8. ЭНЕРГЕТИЧЕСКАЯ И ПИЩЕВАЯ ЦЕННОСТЬ ЗА ДЕНЬ</t>
  </si>
  <si>
    <t xml:space="preserve"> ТТК 369</t>
  </si>
  <si>
    <t xml:space="preserve">Митболы "Ориджинал" с красным соусом</t>
  </si>
  <si>
    <t xml:space="preserve">ДЕНЬ 9. ЭНЕРГЕТИЧЕСКАЯ И ПИЩЕВАЯ ЦЕННОСТЬ ЗА ДЕНЬ</t>
  </si>
  <si>
    <t xml:space="preserve">Яйцо вареное</t>
  </si>
  <si>
    <t xml:space="preserve">223/17</t>
  </si>
  <si>
    <t xml:space="preserve">Запеканка из творога с молоком сгущённым</t>
  </si>
  <si>
    <t xml:space="preserve">Компот из смеси сухофруктов</t>
  </si>
  <si>
    <t xml:space="preserve">ДЕНЬ 10. ЭНЕРГЕТИЧЕСКАЯ И ПИЩЕВАЯ ЦЕННОСТЬ ЗА ДЕНЬ</t>
  </si>
  <si>
    <t xml:space="preserve">110/06</t>
  </si>
  <si>
    <t xml:space="preserve">Рыба, запеченная в омлете</t>
  </si>
  <si>
    <t xml:space="preserve">238/06</t>
  </si>
  <si>
    <t xml:space="preserve">Соус томатный</t>
  </si>
  <si>
    <t xml:space="preserve">Меню для учащихся, получающих бюджетные средства на питание  в размере 72,08 руб. (завтрак)</t>
  </si>
  <si>
    <t xml:space="preserve"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</si>
  <si>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 xml:space="preserve">Голубцы ленивые</t>
  </si>
  <si>
    <t xml:space="preserve">Меню для учащихся, получающих бюджетные средства на питание  в размере 147,00 руб. (завтрак, обед)</t>
  </si>
  <si>
    <t xml:space="preserve"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</si>
  <si>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 xml:space="preserve">ОБЕД</t>
  </si>
  <si>
    <t xml:space="preserve">45/17</t>
  </si>
  <si>
    <t xml:space="preserve">Салат из белокочанной капусты</t>
  </si>
  <si>
    <t xml:space="preserve">113/17</t>
  </si>
  <si>
    <t xml:space="preserve">Суп - лапша домашняя с мясом птицы</t>
  </si>
  <si>
    <t xml:space="preserve">52/17</t>
  </si>
  <si>
    <t xml:space="preserve">Салат из свеклы</t>
  </si>
  <si>
    <t xml:space="preserve">101/17</t>
  </si>
  <si>
    <t xml:space="preserve">Суп картофельный с рисовой крупой с фрикадельками</t>
  </si>
  <si>
    <t xml:space="preserve">260/17</t>
  </si>
  <si>
    <t xml:space="preserve">Гуляш из птицы (грудка)</t>
  </si>
  <si>
    <t xml:space="preserve">75/17</t>
  </si>
  <si>
    <t xml:space="preserve">Икра морковная</t>
  </si>
  <si>
    <t xml:space="preserve">82/17</t>
  </si>
  <si>
    <t xml:space="preserve">Борщ с капустой и картофелем со сметаной и фрикадельками</t>
  </si>
  <si>
    <t xml:space="preserve">295/17</t>
  </si>
  <si>
    <t xml:space="preserve">Котлеты из мяса птицы</t>
  </si>
  <si>
    <t xml:space="preserve">302/17</t>
  </si>
  <si>
    <t xml:space="preserve">Каша гречневая рассыпчатая</t>
  </si>
  <si>
    <t xml:space="preserve">Хлеб ржаной</t>
  </si>
  <si>
    <t xml:space="preserve">71/04</t>
  </si>
  <si>
    <t xml:space="preserve">Винегрет овощной</t>
  </si>
  <si>
    <t xml:space="preserve">99/17</t>
  </si>
  <si>
    <t xml:space="preserve">Суп из овощей со сметаной и фрикадельками</t>
  </si>
  <si>
    <t xml:space="preserve"> ТТК 209</t>
  </si>
  <si>
    <t xml:space="preserve">Азу из мяса птицы по домашнему</t>
  </si>
  <si>
    <t xml:space="preserve">62/17</t>
  </si>
  <si>
    <t xml:space="preserve">Салат из моркови с сахаром</t>
  </si>
  <si>
    <t xml:space="preserve">182/06</t>
  </si>
  <si>
    <t xml:space="preserve">Ежики в соусе</t>
  </si>
  <si>
    <t xml:space="preserve">54/21</t>
  </si>
  <si>
    <t xml:space="preserve">Гороховое пюре</t>
  </si>
  <si>
    <t xml:space="preserve">103/17</t>
  </si>
  <si>
    <t xml:space="preserve">Суп картофельный с макаронными изделиями с фрикадельками</t>
  </si>
  <si>
    <t xml:space="preserve"> ТТК 218</t>
  </si>
  <si>
    <t xml:space="preserve">Бигус с птицей</t>
  </si>
  <si>
    <t xml:space="preserve">247/06</t>
  </si>
  <si>
    <t xml:space="preserve">Кисель из концентрата плодового или ягодного</t>
  </si>
  <si>
    <t xml:space="preserve">35/06</t>
  </si>
  <si>
    <t xml:space="preserve">Свекольник со сметаной и фрикадельками</t>
  </si>
  <si>
    <t xml:space="preserve">278/14</t>
  </si>
  <si>
    <t xml:space="preserve">Тефтели мясные с соусом</t>
  </si>
  <si>
    <t xml:space="preserve">346/17</t>
  </si>
  <si>
    <t xml:space="preserve">Напиток апельсиновый</t>
  </si>
  <si>
    <t xml:space="preserve">98/17</t>
  </si>
  <si>
    <t xml:space="preserve">Суп крестьянский с крупой со сметаной и фрикадельками</t>
  </si>
  <si>
    <t xml:space="preserve">303/14</t>
  </si>
  <si>
    <t xml:space="preserve">Каша перловая вязкая</t>
  </si>
  <si>
    <t xml:space="preserve"> ТТК370</t>
  </si>
  <si>
    <t xml:space="preserve">102/17</t>
  </si>
  <si>
    <t xml:space="preserve">Суп картофельный с бобовыми с мясом птицы</t>
  </si>
  <si>
    <t xml:space="preserve">143/17</t>
  </si>
  <si>
    <t xml:space="preserve">Рагу из овощей</t>
  </si>
  <si>
    <t xml:space="preserve">Меню для учащихся, получающих бюджетные средства на питание в размере 147,00 руб. (завтрак, обед)</t>
  </si>
  <si>
    <t xml:space="preserve">Категории:
1. Обучающиеся с ограниченными возможностями здоровья и дети-инвалиды.</t>
  </si>
  <si>
    <t xml:space="preserve">Каша молочная манная (жидкая) с маслом сливочным</t>
  </si>
  <si>
    <t xml:space="preserve">Каша молочная пшенная (жидкая) с маслом сливочным</t>
  </si>
  <si>
    <t xml:space="preserve">766/04</t>
  </si>
  <si>
    <t xml:space="preserve">Сдоба обыкновенная</t>
  </si>
  <si>
    <t xml:space="preserve">Каша молочная ячневая (жидкая) с маслом сливочным</t>
  </si>
  <si>
    <t xml:space="preserve">334/04</t>
  </si>
  <si>
    <t xml:space="preserve">Макароны запеченные с сыром</t>
  </si>
  <si>
    <t xml:space="preserve">Каша молочная "Дружба" (жидкая) с маслом сливочным</t>
  </si>
  <si>
    <t xml:space="preserve"> ТТК 203</t>
  </si>
  <si>
    <t xml:space="preserve">Тефтели "Крепыш" в соусе</t>
  </si>
  <si>
    <t xml:space="preserve">Вафли</t>
  </si>
  <si>
    <t xml:space="preserve">7-11 лет коррекционные школы</t>
  </si>
  <si>
    <t xml:space="preserve">Завтрак и обед</t>
  </si>
  <si>
    <t xml:space="preserve">меню на 127-49  руб (с 1 по 4 классы)</t>
  </si>
  <si>
    <t xml:space="preserve">№</t>
  </si>
  <si>
    <t xml:space="preserve">Прием пищи,</t>
  </si>
  <si>
    <t xml:space="preserve">Масса</t>
  </si>
  <si>
    <t xml:space="preserve">Пищевые вещества,г.</t>
  </si>
  <si>
    <t xml:space="preserve">Витамины водорастворимые</t>
  </si>
  <si>
    <t xml:space="preserve">Витамины жирорастворимые</t>
  </si>
  <si>
    <t xml:space="preserve">Минеральные вещества (мг)</t>
  </si>
  <si>
    <t xml:space="preserve">рец.</t>
  </si>
  <si>
    <t xml:space="preserve">наименование блюда</t>
  </si>
  <si>
    <t xml:space="preserve">порции, г</t>
  </si>
  <si>
    <t xml:space="preserve">В1, мг</t>
  </si>
  <si>
    <t xml:space="preserve">С, мг</t>
  </si>
  <si>
    <t xml:space="preserve">А, мкг рет. экв</t>
  </si>
  <si>
    <t xml:space="preserve">Са, мг</t>
  </si>
  <si>
    <t xml:space="preserve">Р, мг</t>
  </si>
  <si>
    <t xml:space="preserve">Мg, мг</t>
  </si>
  <si>
    <t xml:space="preserve">Fе, мг</t>
  </si>
  <si>
    <t xml:space="preserve">8</t>
  </si>
  <si>
    <t xml:space="preserve">9</t>
  </si>
  <si>
    <t xml:space="preserve">ДЕНЬ 1</t>
  </si>
  <si>
    <t xml:space="preserve">ЭНЕРГЕТИЧЕСКАЯ И ПИЩЕВАЯ ЦЕННОСТЬ ЗА ДЕНЬ</t>
  </si>
  <si>
    <t xml:space="preserve">0,18</t>
  </si>
  <si>
    <t xml:space="preserve">1,38</t>
  </si>
  <si>
    <t xml:space="preserve">20,00</t>
  </si>
  <si>
    <t xml:space="preserve">149,37</t>
  </si>
  <si>
    <t xml:space="preserve">2,87</t>
  </si>
  <si>
    <t xml:space="preserve">40,04</t>
  </si>
  <si>
    <t xml:space="preserve">1,30</t>
  </si>
  <si>
    <t xml:space="preserve">Суп - лапша домашняя </t>
  </si>
  <si>
    <t xml:space="preserve">0,11</t>
  </si>
  <si>
    <t xml:space="preserve">16,79</t>
  </si>
  <si>
    <t xml:space="preserve">25,90</t>
  </si>
  <si>
    <t xml:space="preserve">68,13</t>
  </si>
  <si>
    <t xml:space="preserve">23,75</t>
  </si>
  <si>
    <t xml:space="preserve">ДЕНЬ 2.</t>
  </si>
  <si>
    <t xml:space="preserve">Суп картофельный с рисовой крупой </t>
  </si>
  <si>
    <t xml:space="preserve">0,10</t>
  </si>
  <si>
    <t xml:space="preserve">21,34</t>
  </si>
  <si>
    <t xml:space="preserve">30,80</t>
  </si>
  <si>
    <t xml:space="preserve">51,54</t>
  </si>
  <si>
    <t xml:space="preserve">21,58</t>
  </si>
  <si>
    <t xml:space="preserve">0,80</t>
  </si>
  <si>
    <t xml:space="preserve">ДЕНЬ 3.</t>
  </si>
  <si>
    <t xml:space="preserve">Борщ с капустой и картофелем </t>
  </si>
  <si>
    <t xml:space="preserve">0,05</t>
  </si>
  <si>
    <t xml:space="preserve">1,50</t>
  </si>
  <si>
    <t xml:space="preserve">13,87</t>
  </si>
  <si>
    <t xml:space="preserve">27,46</t>
  </si>
  <si>
    <t xml:space="preserve">8,19</t>
  </si>
  <si>
    <t xml:space="preserve">0,51</t>
  </si>
  <si>
    <t xml:space="preserve">0,01</t>
  </si>
  <si>
    <t xml:space="preserve">9,00</t>
  </si>
  <si>
    <t xml:space="preserve">5,82</t>
  </si>
  <si>
    <t xml:space="preserve">0,12</t>
  </si>
  <si>
    <t xml:space="preserve">ДЕНЬ 4.</t>
  </si>
  <si>
    <t xml:space="preserve">Суп из овощей </t>
  </si>
  <si>
    <t xml:space="preserve">0,08</t>
  </si>
  <si>
    <t xml:space="preserve">30,30</t>
  </si>
  <si>
    <t xml:space="preserve">41,80</t>
  </si>
  <si>
    <t xml:space="preserve">44,28</t>
  </si>
  <si>
    <t xml:space="preserve">20,10</t>
  </si>
  <si>
    <t xml:space="preserve">0,76</t>
  </si>
  <si>
    <t xml:space="preserve">0,40</t>
  </si>
  <si>
    <t xml:space="preserve">7,54</t>
  </si>
  <si>
    <t xml:space="preserve">6,72</t>
  </si>
  <si>
    <t xml:space="preserve">1,36</t>
  </si>
  <si>
    <t xml:space="preserve">1,28</t>
  </si>
  <si>
    <t xml:space="preserve">ДЕНЬ 5.</t>
  </si>
  <si>
    <t xml:space="preserve">11,50</t>
  </si>
  <si>
    <t xml:space="preserve">40,80</t>
  </si>
  <si>
    <t xml:space="preserve">40,38</t>
  </si>
  <si>
    <t xml:space="preserve">16,70</t>
  </si>
  <si>
    <t xml:space="preserve">1,78</t>
  </si>
  <si>
    <t xml:space="preserve">182/15</t>
  </si>
  <si>
    <t xml:space="preserve">ДЕНЬ 6.</t>
  </si>
  <si>
    <t xml:space="preserve">Суп картофельный с макаронными изделиями </t>
  </si>
  <si>
    <t xml:space="preserve">0,07</t>
  </si>
  <si>
    <t xml:space="preserve">19,32</t>
  </si>
  <si>
    <t xml:space="preserve">42,23</t>
  </si>
  <si>
    <t xml:space="preserve">31,76</t>
  </si>
  <si>
    <t xml:space="preserve">13,48</t>
  </si>
  <si>
    <t xml:space="preserve">1,14</t>
  </si>
  <si>
    <t xml:space="preserve">Свекольник </t>
  </si>
  <si>
    <t xml:space="preserve">16,50</t>
  </si>
  <si>
    <t xml:space="preserve">22,75</t>
  </si>
  <si>
    <t xml:space="preserve">97,35</t>
  </si>
  <si>
    <t xml:space="preserve">31,20</t>
  </si>
  <si>
    <t xml:space="preserve">1,02</t>
  </si>
  <si>
    <t xml:space="preserve">ДЕНЬ 8.</t>
  </si>
  <si>
    <t xml:space="preserve">Суп крестьянский с крупой </t>
  </si>
  <si>
    <t xml:space="preserve">0,13</t>
  </si>
  <si>
    <t xml:space="preserve">15,20</t>
  </si>
  <si>
    <t xml:space="preserve">63,45</t>
  </si>
  <si>
    <t xml:space="preserve">24,05</t>
  </si>
  <si>
    <t xml:space="preserve">0,83</t>
  </si>
  <si>
    <t xml:space="preserve">ДЕНЬ 9.</t>
  </si>
  <si>
    <t xml:space="preserve">Запеканка из творога с джемом</t>
  </si>
  <si>
    <t xml:space="preserve">ДЕНЬ 10.</t>
  </si>
  <si>
    <t xml:space="preserve">ЭНЕРГЕТИЧЕСКАЯ И ПИЩЕВАЯ ЦЕННОСТЬ ЗАДЕНЬ</t>
  </si>
  <si>
    <t xml:space="preserve">Суп картофельный с бобовыми</t>
  </si>
  <si>
    <t xml:space="preserve">12-18 лет коррекционные школы</t>
  </si>
  <si>
    <t xml:space="preserve">меню на 139-29 руб (с 5 по 11 классы)</t>
  </si>
  <si>
    <t xml:space="preserve">Борщ с капустой и картофелем</t>
  </si>
  <si>
    <t xml:space="preserve">Суп - лапша домашняя</t>
  </si>
  <si>
    <t xml:space="preserve">Суп крестьянский с крупой</t>
  </si>
  <si>
    <t xml:space="preserve">Меню для учащихся, получающих бюджетные средства на питание в размере 148,00 руб. (завтрак, обед)</t>
  </si>
  <si>
    <t xml:space="preserve">Категории:
-  Обучающиеся, один из родителей которых является военнослужащим;
- Обучающиеся, один из родителей которых является военнослужащим, погибшим (умершим) в результате участия в специальной военной операции.</t>
  </si>
  <si>
    <r>
      <rPr>
        <b val="true"/>
        <sz val="10"/>
        <rFont val="Times New Roman"/>
        <family val="1"/>
        <charset val="204"/>
      </rPr>
      <t xml:space="preserve">Список использованной литературы:      </t>
    </r>
    <r>
      <rPr>
        <sz val="10"/>
        <rFont val="Times New Roman"/>
        <family val="1"/>
        <charset val="204"/>
      </rPr>
      <t xml:space="preserve">                                                            
1. Сборник технических нормативов - Сборник рецептур на продукцию для обучающихся во всех образовательных учреждениях/Под ред. М. П. Могилльного и В. А. Тутельяна.-М.:ДеЛи плюс, 2017.-544с.                                                                     
2. Сборник технологических нормативов, рецептур блюд и кулинарных изделий для школьных образовательных учреждений, школ-интернатов, детских домов и детских оздоровительных учреждений/Составители: Л. С. Коровка, И.И. Добросердова.-Пермь.:Уральский региональный центр питания, 2006.-234с.                                                             
3. Сборник технических нормативов-Сборник рецептур на продукцию для питания детей в дошкольных образовательных организациях/Под ред. М. П. Могильного и В. А. Тутельяна.-М.:ДеЛи плюс, 2016.-640с.                                                          
4. Сборник технических нормативов-Сборник рецептур блюд и кулинарных изделий для предприятий общественного питания при общеобразовательных школах/Под ред. В. Т. Лапшиной.-М.:Хлебпродинформ,2004.-640с.                                                             
5. Технико-технологические карты, разработанные организацией общественного питания.
6. Сборник рецептур блюд и типовых меню для организации питания обучающихся 1—4-х классов в общеобразовательных организациях: Пособие.—М.: Федеральный центр гигиены и эпидемиологии Роспотребнадзора, 2022.— 275 с.
</t>
    </r>
  </si>
  <si>
    <t xml:space="preserve">Примерное меню для обучающихся                          7-11 лет                                                      12-18 лет     общеобразовательных  организаций                                       на 2023-2024 учебный год по категориям питающихся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</si>
</sst>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General"/>
  </numFmts>
  <fonts count="1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6"/>
      <name val="Times New Roman"/>
      <family val="1"/>
      <charset val="204"/>
    </font>
    <font>
      <i val="true"/>
      <sz val="9"/>
      <name val="Arial"/>
      <family val="2"/>
      <charset val="204"/>
    </font>
    <font>
      <i val="true"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 val="true"/>
      <sz val="9.5"/>
      <name val="Arial"/>
      <family val="2"/>
      <charset val="204"/>
    </font>
    <font>
      <b val="true"/>
      <sz val="8.5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0"/>
      <charset val="1"/>
    </font>
    <font>
      <b val="true"/>
      <sz val="10"/>
      <name val="Arial"/>
      <family val="2"/>
      <charset val="204"/>
    </font>
    <font>
      <b val="true"/>
      <sz val="9"/>
      <name val="Arial"/>
      <family val="2"/>
      <charset val="204"/>
    </font>
    <font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false" applyBorder="false" applyAlignment="false" applyProtection="false"/>
  </cellStyleXfs>
  <cellXfs count="2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4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2" borderId="2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2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2" borderId="8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2" borderId="8" xfId="0" applyFont="true" applyBorder="true" applyAlignment="true" applyProtection="true">
      <alignment horizontal="left" vertical="top" textRotation="0" wrapText="false" indent="6" shrinkToFit="false"/>
      <protection locked="true" hidden="false"/>
    </xf>
    <xf numFmtId="164" fontId="7" fillId="2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7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2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2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right" vertical="top" textRotation="0" wrapText="false" indent="1" shrinkToFit="false"/>
      <protection locked="true" hidden="false"/>
    </xf>
    <xf numFmtId="164" fontId="9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9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0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2" xfId="0" applyFont="true" applyBorder="true" applyAlignment="true" applyProtection="true">
      <alignment horizontal="right" vertical="top" textRotation="0" wrapText="false" indent="1" shrinkToFit="false"/>
      <protection locked="true" hidden="false"/>
    </xf>
    <xf numFmtId="166" fontId="9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15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7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1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3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1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16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7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1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2" borderId="5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2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3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6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6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0" fillId="2" borderId="2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1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2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2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15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9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2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6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9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7" xfId="0" applyFont="true" applyBorder="true" applyAlignment="true" applyProtection="true">
      <alignment horizontal="right" vertical="top" textRotation="0" wrapText="false" indent="1" shrinkToFit="false"/>
      <protection locked="true" hidden="false"/>
    </xf>
    <xf numFmtId="164" fontId="9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6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2" borderId="2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2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right" vertical="top" textRotation="0" wrapText="false" indent="1" shrinkToFit="false"/>
      <protection locked="true" hidden="false"/>
    </xf>
    <xf numFmtId="164" fontId="12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2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5" fillId="2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0" fillId="2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5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5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A1:Z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8" activeCellId="0" sqref="I58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2" width="32.86"/>
    <col collapsed="false" customWidth="true" hidden="false" outlineLevel="0" max="3" min="3" style="1" width="10"/>
    <col collapsed="false" customWidth="true" hidden="false" outlineLevel="0" max="4" min="4" style="1" width="7.29"/>
    <col collapsed="false" customWidth="true" hidden="false" outlineLevel="0" max="5" min="5" style="1" width="7.71"/>
    <col collapsed="false" customWidth="true" hidden="false" outlineLevel="0" max="6" min="6" style="1" width="7.42"/>
    <col collapsed="false" customWidth="true" hidden="false" outlineLevel="0" max="7" min="7" style="1" width="11.86"/>
    <col collapsed="false" customWidth="false" hidden="false" outlineLevel="0" max="1024" min="8" style="3" width="9.14"/>
  </cols>
  <sheetData>
    <row r="1" customFormat="false" ht="12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2.75" hidden="false" customHeight="false" outlineLevel="0" collapsed="false">
      <c r="A2" s="4"/>
      <c r="B2" s="4"/>
      <c r="C2" s="4"/>
      <c r="D2" s="4"/>
      <c r="E2" s="4"/>
      <c r="F2" s="4"/>
      <c r="G2" s="4"/>
    </row>
    <row r="3" customFormat="false" ht="12.75" hidden="false" customHeight="true" outlineLevel="0" collapsed="false">
      <c r="A3" s="5" t="s">
        <v>1</v>
      </c>
      <c r="B3" s="5"/>
      <c r="C3" s="5"/>
      <c r="D3" s="5"/>
      <c r="E3" s="5"/>
      <c r="F3" s="5"/>
      <c r="G3" s="5"/>
    </row>
    <row r="4" customFormat="false" ht="48.75" hidden="false" customHeight="true" outlineLevel="0" collapsed="false">
      <c r="A4" s="5"/>
      <c r="B4" s="5"/>
      <c r="C4" s="5"/>
      <c r="D4" s="5"/>
      <c r="E4" s="5"/>
      <c r="F4" s="5"/>
      <c r="G4" s="5"/>
    </row>
    <row r="5" customFormat="false" ht="33.75" hidden="false" customHeight="true" outlineLevel="0" collapsed="false">
      <c r="A5" s="6" t="s">
        <v>2</v>
      </c>
      <c r="B5" s="6" t="s">
        <v>3</v>
      </c>
      <c r="C5" s="6" t="s">
        <v>4</v>
      </c>
      <c r="D5" s="6" t="s">
        <v>5</v>
      </c>
      <c r="E5" s="6"/>
      <c r="F5" s="6"/>
      <c r="G5" s="6" t="s">
        <v>6</v>
      </c>
    </row>
    <row r="6" customFormat="false" ht="34.5" hidden="false" customHeight="true" outlineLevel="0" collapsed="false">
      <c r="A6" s="6"/>
      <c r="B6" s="6"/>
      <c r="C6" s="6"/>
      <c r="D6" s="6" t="s">
        <v>7</v>
      </c>
      <c r="E6" s="6" t="s">
        <v>8</v>
      </c>
      <c r="F6" s="6" t="s">
        <v>9</v>
      </c>
      <c r="G6" s="6"/>
    </row>
    <row r="7" s="1" customFormat="true" ht="12.75" hidden="false" customHeight="false" outlineLevel="0" collapsed="false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</row>
    <row r="8" customFormat="false" ht="27.95" hidden="false" customHeight="true" outlineLevel="0" collapsed="false">
      <c r="A8" s="7" t="s">
        <v>17</v>
      </c>
      <c r="B8" s="7"/>
      <c r="C8" s="7"/>
      <c r="D8" s="8" t="n">
        <f aca="false">D9</f>
        <v>16.41</v>
      </c>
      <c r="E8" s="8" t="n">
        <f aca="false">E9</f>
        <v>19.87</v>
      </c>
      <c r="F8" s="8" t="n">
        <f aca="false">F9</f>
        <v>99.29</v>
      </c>
      <c r="G8" s="8" t="n">
        <f aca="false">G9</f>
        <v>665</v>
      </c>
    </row>
    <row r="9" customFormat="false" ht="12.75" hidden="false" customHeight="false" outlineLevel="0" collapsed="false">
      <c r="A9" s="6"/>
      <c r="B9" s="7" t="s">
        <v>18</v>
      </c>
      <c r="C9" s="6"/>
      <c r="D9" s="8" t="n">
        <f aca="false">D10+D11+D12+D13+D14+D15</f>
        <v>16.41</v>
      </c>
      <c r="E9" s="8" t="n">
        <f aca="false">E10+E11+E12+E13+E14+E15</f>
        <v>19.87</v>
      </c>
      <c r="F9" s="8" t="n">
        <f aca="false">F10+F11+F12+F13+F14+F15</f>
        <v>99.29</v>
      </c>
      <c r="G9" s="8" t="n">
        <f aca="false">G10+G11+G12+G13+G14+G15</f>
        <v>665</v>
      </c>
    </row>
    <row r="10" customFormat="false" ht="12.75" hidden="false" customHeight="false" outlineLevel="0" collapsed="false">
      <c r="A10" s="9" t="s">
        <v>19</v>
      </c>
      <c r="B10" s="10" t="s">
        <v>20</v>
      </c>
      <c r="C10" s="9" t="n">
        <v>10</v>
      </c>
      <c r="D10" s="11" t="n">
        <v>2.6</v>
      </c>
      <c r="E10" s="11" t="n">
        <v>2.65</v>
      </c>
      <c r="F10" s="11" t="n">
        <v>0.35</v>
      </c>
      <c r="G10" s="11" t="n">
        <v>36.24</v>
      </c>
    </row>
    <row r="11" customFormat="false" ht="12.75" hidden="false" customHeight="false" outlineLevel="0" collapsed="false">
      <c r="A11" s="9" t="s">
        <v>21</v>
      </c>
      <c r="B11" s="10" t="s">
        <v>22</v>
      </c>
      <c r="C11" s="9" t="n">
        <v>5</v>
      </c>
      <c r="D11" s="11" t="n">
        <v>0.05</v>
      </c>
      <c r="E11" s="11" t="n">
        <v>3.63</v>
      </c>
      <c r="F11" s="11" t="n">
        <v>0.07</v>
      </c>
      <c r="G11" s="11" t="n">
        <v>33.11</v>
      </c>
    </row>
    <row r="12" customFormat="false" ht="25.5" hidden="false" customHeight="false" outlineLevel="0" collapsed="false">
      <c r="A12" s="9" t="s">
        <v>23</v>
      </c>
      <c r="B12" s="10" t="s">
        <v>24</v>
      </c>
      <c r="C12" s="9" t="n">
        <v>205</v>
      </c>
      <c r="D12" s="11" t="n">
        <v>6.81</v>
      </c>
      <c r="E12" s="11" t="n">
        <v>10.45</v>
      </c>
      <c r="F12" s="11" t="n">
        <v>29.51</v>
      </c>
      <c r="G12" s="11" t="n">
        <v>246.6</v>
      </c>
    </row>
    <row r="13" customFormat="false" ht="12.75" hidden="false" customHeight="false" outlineLevel="0" collapsed="false">
      <c r="A13" s="9"/>
      <c r="B13" s="10" t="s">
        <v>25</v>
      </c>
      <c r="C13" s="9" t="n">
        <v>40</v>
      </c>
      <c r="D13" s="11" t="n">
        <v>1.92</v>
      </c>
      <c r="E13" s="11" t="n">
        <v>1.12</v>
      </c>
      <c r="F13" s="11" t="n">
        <v>31.08</v>
      </c>
      <c r="G13" s="11" t="n">
        <v>148.68</v>
      </c>
    </row>
    <row r="14" customFormat="false" ht="12.75" hidden="false" customHeight="false" outlineLevel="0" collapsed="false">
      <c r="A14" s="9" t="s">
        <v>26</v>
      </c>
      <c r="B14" s="10" t="s">
        <v>27</v>
      </c>
      <c r="C14" s="9" t="n">
        <v>200</v>
      </c>
      <c r="D14" s="11" t="n">
        <v>1.99</v>
      </c>
      <c r="E14" s="11" t="n">
        <v>1.7</v>
      </c>
      <c r="F14" s="11" t="n">
        <v>18.6</v>
      </c>
      <c r="G14" s="11" t="n">
        <v>102.03</v>
      </c>
    </row>
    <row r="15" customFormat="false" ht="12.75" hidden="false" customHeight="false" outlineLevel="0" collapsed="false">
      <c r="A15" s="9"/>
      <c r="B15" s="10" t="s">
        <v>28</v>
      </c>
      <c r="C15" s="9" t="n">
        <v>40</v>
      </c>
      <c r="D15" s="11" t="n">
        <v>3.04</v>
      </c>
      <c r="E15" s="11" t="n">
        <v>0.32</v>
      </c>
      <c r="F15" s="11" t="n">
        <v>19.68</v>
      </c>
      <c r="G15" s="11" t="n">
        <v>98.34</v>
      </c>
    </row>
    <row r="16" customFormat="false" ht="12.75" hidden="true" customHeight="false" outlineLevel="0" collapsed="false">
      <c r="A16" s="12"/>
      <c r="B16" s="10"/>
      <c r="C16" s="12"/>
      <c r="D16" s="11"/>
      <c r="E16" s="11"/>
      <c r="F16" s="11"/>
      <c r="G16" s="11"/>
    </row>
    <row r="17" customFormat="false" ht="12.75" hidden="true" customHeight="false" outlineLevel="0" collapsed="false">
      <c r="A17" s="9"/>
      <c r="B17" s="10"/>
      <c r="C17" s="9"/>
      <c r="D17" s="11"/>
      <c r="E17" s="11"/>
      <c r="F17" s="11"/>
      <c r="G17" s="11"/>
    </row>
    <row r="18" customFormat="false" ht="12.75" hidden="false" customHeight="true" outlineLevel="0" collapsed="false">
      <c r="A18" s="13" t="s">
        <v>29</v>
      </c>
      <c r="B18" s="13"/>
      <c r="C18" s="6" t="n">
        <f aca="false">SUM(C10:C17)</f>
        <v>500</v>
      </c>
      <c r="D18" s="11"/>
      <c r="E18" s="11"/>
      <c r="F18" s="11"/>
      <c r="G18" s="11"/>
    </row>
    <row r="19" customFormat="false" ht="27.95" hidden="false" customHeight="true" outlineLevel="0" collapsed="false">
      <c r="A19" s="7" t="s">
        <v>30</v>
      </c>
      <c r="B19" s="7"/>
      <c r="C19" s="7"/>
      <c r="D19" s="8" t="n">
        <f aca="false">D20</f>
        <v>12.62</v>
      </c>
      <c r="E19" s="8" t="n">
        <f aca="false">E20</f>
        <v>16.91</v>
      </c>
      <c r="F19" s="8" t="n">
        <f aca="false">F20</f>
        <v>71.04</v>
      </c>
      <c r="G19" s="8" t="n">
        <f aca="false">G20</f>
        <v>503.65</v>
      </c>
    </row>
    <row r="20" customFormat="false" ht="12.75" hidden="false" customHeight="false" outlineLevel="0" collapsed="false">
      <c r="A20" s="6"/>
      <c r="B20" s="7" t="s">
        <v>18</v>
      </c>
      <c r="C20" s="6"/>
      <c r="D20" s="8" t="n">
        <f aca="false">D21+D22+D23+D24</f>
        <v>12.62</v>
      </c>
      <c r="E20" s="8" t="n">
        <f aca="false">E21+E22+E23+E24</f>
        <v>16.91</v>
      </c>
      <c r="F20" s="8" t="n">
        <f aca="false">F21+F22+F23+F24</f>
        <v>71.04</v>
      </c>
      <c r="G20" s="8" t="n">
        <f aca="false">G21+G22+G23+G24</f>
        <v>503.65</v>
      </c>
    </row>
    <row r="21" customFormat="false" ht="12.75" hidden="false" customHeight="false" outlineLevel="0" collapsed="false">
      <c r="A21" s="9" t="s">
        <v>31</v>
      </c>
      <c r="B21" s="10" t="s">
        <v>32</v>
      </c>
      <c r="C21" s="9" t="n">
        <v>115</v>
      </c>
      <c r="D21" s="11" t="n">
        <v>6.32</v>
      </c>
      <c r="E21" s="11" t="n">
        <v>8.79</v>
      </c>
      <c r="F21" s="11" t="n">
        <v>19.37</v>
      </c>
      <c r="G21" s="11" t="n">
        <v>187.01</v>
      </c>
    </row>
    <row r="22" customFormat="false" ht="12.75" hidden="false" customHeight="false" outlineLevel="0" collapsed="false">
      <c r="A22" s="9" t="s">
        <v>33</v>
      </c>
      <c r="B22" s="10" t="s">
        <v>34</v>
      </c>
      <c r="C22" s="9" t="n">
        <v>150</v>
      </c>
      <c r="D22" s="11" t="n">
        <v>3.26</v>
      </c>
      <c r="E22" s="11" t="n">
        <v>7.8</v>
      </c>
      <c r="F22" s="11" t="n">
        <v>21.99</v>
      </c>
      <c r="G22" s="11" t="n">
        <v>176.3</v>
      </c>
    </row>
    <row r="23" customFormat="false" ht="12.75" hidden="false" customHeight="false" outlineLevel="0" collapsed="false">
      <c r="A23" s="9" t="s">
        <v>35</v>
      </c>
      <c r="B23" s="10" t="s">
        <v>36</v>
      </c>
      <c r="C23" s="9" t="n">
        <v>200</v>
      </c>
      <c r="D23" s="11" t="n">
        <v>0</v>
      </c>
      <c r="E23" s="11" t="n">
        <v>0</v>
      </c>
      <c r="F23" s="11" t="n">
        <v>10</v>
      </c>
      <c r="G23" s="11" t="n">
        <v>42</v>
      </c>
    </row>
    <row r="24" customFormat="false" ht="12.75" hidden="false" customHeight="false" outlineLevel="0" collapsed="false">
      <c r="A24" s="9"/>
      <c r="B24" s="10" t="s">
        <v>28</v>
      </c>
      <c r="C24" s="9" t="n">
        <v>40</v>
      </c>
      <c r="D24" s="11" t="n">
        <v>3.04</v>
      </c>
      <c r="E24" s="11" t="n">
        <v>0.32</v>
      </c>
      <c r="F24" s="11" t="n">
        <v>19.68</v>
      </c>
      <c r="G24" s="11" t="n">
        <v>98.34</v>
      </c>
    </row>
    <row r="25" customFormat="false" ht="12.75" hidden="false" customHeight="true" outlineLevel="0" collapsed="false">
      <c r="A25" s="13" t="s">
        <v>29</v>
      </c>
      <c r="B25" s="13"/>
      <c r="C25" s="6" t="n">
        <f aca="false">SUM(C21:C24)</f>
        <v>505</v>
      </c>
      <c r="D25" s="11"/>
      <c r="E25" s="11"/>
      <c r="F25" s="11"/>
      <c r="G25" s="11"/>
    </row>
    <row r="26" customFormat="false" ht="27.95" hidden="false" customHeight="true" outlineLevel="0" collapsed="false">
      <c r="A26" s="7" t="s">
        <v>37</v>
      </c>
      <c r="B26" s="7"/>
      <c r="C26" s="7"/>
      <c r="D26" s="8" t="n">
        <f aca="false">D27</f>
        <v>19.03</v>
      </c>
      <c r="E26" s="8" t="n">
        <f aca="false">E27</f>
        <v>6.46</v>
      </c>
      <c r="F26" s="8" t="n">
        <f aca="false">F27</f>
        <v>83.52</v>
      </c>
      <c r="G26" s="8" t="n">
        <f aca="false">G27</f>
        <v>489.34</v>
      </c>
    </row>
    <row r="27" customFormat="false" ht="12.75" hidden="false" customHeight="false" outlineLevel="0" collapsed="false">
      <c r="A27" s="6"/>
      <c r="B27" s="7" t="s">
        <v>18</v>
      </c>
      <c r="C27" s="6"/>
      <c r="D27" s="8" t="n">
        <f aca="false">D28+D29+D30+D31</f>
        <v>19.03</v>
      </c>
      <c r="E27" s="8" t="n">
        <f aca="false">E28+E29+E30+E31</f>
        <v>6.46</v>
      </c>
      <c r="F27" s="8" t="n">
        <f aca="false">F28+F29+F30+F31</f>
        <v>83.52</v>
      </c>
      <c r="G27" s="8" t="n">
        <f aca="false">G28+G29+G30+G31</f>
        <v>489.34</v>
      </c>
    </row>
    <row r="28" customFormat="false" ht="15" hidden="false" customHeight="true" outlineLevel="0" collapsed="false">
      <c r="A28" s="9" t="s">
        <v>38</v>
      </c>
      <c r="B28" s="10" t="s">
        <v>39</v>
      </c>
      <c r="C28" s="9" t="n">
        <v>60</v>
      </c>
      <c r="D28" s="11" t="n">
        <v>0.9</v>
      </c>
      <c r="E28" s="11" t="n">
        <v>0.06</v>
      </c>
      <c r="F28" s="11" t="n">
        <v>5.28</v>
      </c>
      <c r="G28" s="11" t="n">
        <v>27</v>
      </c>
    </row>
    <row r="29" customFormat="false" ht="12.75" hidden="false" customHeight="false" outlineLevel="0" collapsed="false">
      <c r="A29" s="9" t="s">
        <v>40</v>
      </c>
      <c r="B29" s="10" t="s">
        <v>41</v>
      </c>
      <c r="C29" s="9" t="n">
        <v>200</v>
      </c>
      <c r="D29" s="11" t="n">
        <v>14.09</v>
      </c>
      <c r="E29" s="11" t="n">
        <v>5.98</v>
      </c>
      <c r="F29" s="11" t="n">
        <v>27.56</v>
      </c>
      <c r="G29" s="11" t="n">
        <v>229</v>
      </c>
    </row>
    <row r="30" customFormat="false" ht="29.25" hidden="false" customHeight="true" outlineLevel="0" collapsed="false">
      <c r="A30" s="9" t="s">
        <v>42</v>
      </c>
      <c r="B30" s="10" t="s">
        <v>43</v>
      </c>
      <c r="C30" s="9" t="n">
        <v>200</v>
      </c>
      <c r="D30" s="11" t="n">
        <v>1</v>
      </c>
      <c r="E30" s="11" t="n">
        <v>0.1</v>
      </c>
      <c r="F30" s="11" t="n">
        <v>31</v>
      </c>
      <c r="G30" s="11" t="n">
        <v>135</v>
      </c>
    </row>
    <row r="31" customFormat="false" ht="15" hidden="false" customHeight="true" outlineLevel="0" collapsed="false">
      <c r="A31" s="9"/>
      <c r="B31" s="10" t="s">
        <v>28</v>
      </c>
      <c r="C31" s="9" t="n">
        <v>40</v>
      </c>
      <c r="D31" s="11" t="n">
        <v>3.04</v>
      </c>
      <c r="E31" s="11" t="n">
        <v>0.32</v>
      </c>
      <c r="F31" s="11" t="n">
        <v>19.68</v>
      </c>
      <c r="G31" s="11" t="n">
        <v>98.34</v>
      </c>
    </row>
    <row r="32" customFormat="false" ht="12.75" hidden="false" customHeight="true" outlineLevel="0" collapsed="false">
      <c r="A32" s="13" t="s">
        <v>29</v>
      </c>
      <c r="B32" s="13"/>
      <c r="C32" s="6" t="n">
        <f aca="false">SUM(C28:C31)</f>
        <v>500</v>
      </c>
      <c r="D32" s="11"/>
      <c r="E32" s="11"/>
      <c r="F32" s="11"/>
      <c r="G32" s="11"/>
    </row>
    <row r="33" customFormat="false" ht="27.95" hidden="false" customHeight="true" outlineLevel="0" collapsed="false">
      <c r="A33" s="7" t="s">
        <v>44</v>
      </c>
      <c r="B33" s="7"/>
      <c r="C33" s="7"/>
      <c r="D33" s="8" t="n">
        <f aca="false">D34</f>
        <v>21.17</v>
      </c>
      <c r="E33" s="8" t="n">
        <f aca="false">E34</f>
        <v>17.48</v>
      </c>
      <c r="F33" s="8" t="n">
        <f aca="false">F34</f>
        <v>82.38</v>
      </c>
      <c r="G33" s="8" t="n">
        <f aca="false">G34</f>
        <v>592.27</v>
      </c>
    </row>
    <row r="34" customFormat="false" ht="12.75" hidden="false" customHeight="false" outlineLevel="0" collapsed="false">
      <c r="A34" s="6"/>
      <c r="B34" s="7" t="s">
        <v>18</v>
      </c>
      <c r="C34" s="6"/>
      <c r="D34" s="8" t="n">
        <f aca="false">D35+D36+D37+D38</f>
        <v>21.17</v>
      </c>
      <c r="E34" s="8" t="n">
        <f aca="false">E35+E36+E37+E38</f>
        <v>17.48</v>
      </c>
      <c r="F34" s="8" t="n">
        <f aca="false">F35+F36+F37+F38</f>
        <v>82.38</v>
      </c>
      <c r="G34" s="8" t="n">
        <f aca="false">G35+G36+G37+G38</f>
        <v>592.27</v>
      </c>
    </row>
    <row r="35" customFormat="false" ht="12.75" hidden="false" customHeight="false" outlineLevel="0" collapsed="false">
      <c r="A35" s="9"/>
      <c r="B35" s="10" t="s">
        <v>45</v>
      </c>
      <c r="C35" s="9" t="n">
        <v>100</v>
      </c>
      <c r="D35" s="11" t="n">
        <v>0.4</v>
      </c>
      <c r="E35" s="11" t="n">
        <v>0</v>
      </c>
      <c r="F35" s="11" t="n">
        <v>9.8</v>
      </c>
      <c r="G35" s="11" t="n">
        <v>42.84</v>
      </c>
    </row>
    <row r="36" customFormat="false" ht="12.75" hidden="false" customHeight="false" outlineLevel="0" collapsed="false">
      <c r="A36" s="9" t="s">
        <v>46</v>
      </c>
      <c r="B36" s="10" t="s">
        <v>47</v>
      </c>
      <c r="C36" s="9" t="n">
        <v>200</v>
      </c>
      <c r="D36" s="11" t="n">
        <v>17.73</v>
      </c>
      <c r="E36" s="11" t="n">
        <v>17.16</v>
      </c>
      <c r="F36" s="11" t="n">
        <v>42.9</v>
      </c>
      <c r="G36" s="11" t="n">
        <v>409.09</v>
      </c>
    </row>
    <row r="37" customFormat="false" ht="12.75" hidden="false" customHeight="false" outlineLevel="0" collapsed="false">
      <c r="A37" s="9" t="s">
        <v>35</v>
      </c>
      <c r="B37" s="10" t="s">
        <v>36</v>
      </c>
      <c r="C37" s="9" t="n">
        <v>200</v>
      </c>
      <c r="D37" s="11" t="n">
        <v>0</v>
      </c>
      <c r="E37" s="11" t="n">
        <v>0</v>
      </c>
      <c r="F37" s="11" t="n">
        <v>10</v>
      </c>
      <c r="G37" s="11" t="n">
        <v>42</v>
      </c>
    </row>
    <row r="38" customFormat="false" ht="15" hidden="false" customHeight="true" outlineLevel="0" collapsed="false">
      <c r="A38" s="9"/>
      <c r="B38" s="10" t="s">
        <v>28</v>
      </c>
      <c r="C38" s="9" t="n">
        <v>40</v>
      </c>
      <c r="D38" s="11" t="n">
        <v>3.04</v>
      </c>
      <c r="E38" s="11" t="n">
        <v>0.32</v>
      </c>
      <c r="F38" s="11" t="n">
        <v>19.68</v>
      </c>
      <c r="G38" s="11" t="n">
        <v>98.34</v>
      </c>
    </row>
    <row r="39" customFormat="false" ht="15" hidden="false" customHeight="true" outlineLevel="0" collapsed="false">
      <c r="A39" s="13" t="s">
        <v>29</v>
      </c>
      <c r="B39" s="13"/>
      <c r="C39" s="6" t="n">
        <f aca="false">C38+C37+C36+C35</f>
        <v>540</v>
      </c>
      <c r="D39" s="11"/>
      <c r="E39" s="11"/>
      <c r="F39" s="11"/>
      <c r="G39" s="11"/>
    </row>
    <row r="40" customFormat="false" ht="27.95" hidden="false" customHeight="true" outlineLevel="0" collapsed="false">
      <c r="A40" s="7" t="s">
        <v>48</v>
      </c>
      <c r="B40" s="7"/>
      <c r="C40" s="7"/>
      <c r="D40" s="8" t="n">
        <f aca="false">D41</f>
        <v>15.2</v>
      </c>
      <c r="E40" s="8" t="n">
        <f aca="false">E41</f>
        <v>15.11</v>
      </c>
      <c r="F40" s="8" t="n">
        <f aca="false">F41</f>
        <v>79.06</v>
      </c>
      <c r="G40" s="8" t="n">
        <f aca="false">G41</f>
        <v>532.432</v>
      </c>
    </row>
    <row r="41" customFormat="false" ht="12.75" hidden="false" customHeight="false" outlineLevel="0" collapsed="false">
      <c r="A41" s="6"/>
      <c r="B41" s="7" t="s">
        <v>18</v>
      </c>
      <c r="C41" s="6"/>
      <c r="D41" s="8" t="n">
        <f aca="false">D42+D43+D44+D45</f>
        <v>15.2</v>
      </c>
      <c r="E41" s="8" t="n">
        <f aca="false">E42+E43+E44+E45</f>
        <v>15.11</v>
      </c>
      <c r="F41" s="8" t="n">
        <f aca="false">F42+F43+F44+F45</f>
        <v>79.06</v>
      </c>
      <c r="G41" s="8" t="n">
        <f aca="false">G42+G43+G44+G45</f>
        <v>532.432</v>
      </c>
    </row>
    <row r="42" customFormat="false" ht="12.75" hidden="false" customHeight="false" outlineLevel="0" collapsed="false">
      <c r="A42" s="9" t="s">
        <v>49</v>
      </c>
      <c r="B42" s="10" t="s">
        <v>50</v>
      </c>
      <c r="C42" s="9" t="n">
        <v>105</v>
      </c>
      <c r="D42" s="11" t="n">
        <v>6.14</v>
      </c>
      <c r="E42" s="11" t="n">
        <v>11.91</v>
      </c>
      <c r="F42" s="11" t="n">
        <v>10.92</v>
      </c>
      <c r="G42" s="11" t="n">
        <v>178.84</v>
      </c>
    </row>
    <row r="43" customFormat="false" ht="12.75" hidden="false" customHeight="false" outlineLevel="0" collapsed="false">
      <c r="A43" s="9" t="s">
        <v>51</v>
      </c>
      <c r="B43" s="10" t="s">
        <v>52</v>
      </c>
      <c r="C43" s="9" t="n">
        <v>150</v>
      </c>
      <c r="D43" s="11" t="n">
        <v>5.64</v>
      </c>
      <c r="E43" s="11" t="n">
        <v>2.84</v>
      </c>
      <c r="F43" s="11" t="n">
        <v>36</v>
      </c>
      <c r="G43" s="11" t="n">
        <v>201</v>
      </c>
    </row>
    <row r="44" customFormat="false" ht="12.75" hidden="false" customHeight="false" outlineLevel="0" collapsed="false">
      <c r="A44" s="12" t="s">
        <v>35</v>
      </c>
      <c r="B44" s="10" t="s">
        <v>36</v>
      </c>
      <c r="C44" s="12" t="n">
        <v>200</v>
      </c>
      <c r="D44" s="11" t="n">
        <v>0</v>
      </c>
      <c r="E44" s="11" t="n">
        <v>0</v>
      </c>
      <c r="F44" s="11" t="n">
        <v>10</v>
      </c>
      <c r="G44" s="11" t="n">
        <v>42</v>
      </c>
    </row>
    <row r="45" customFormat="false" ht="13.5" hidden="false" customHeight="true" outlineLevel="0" collapsed="false">
      <c r="A45" s="9"/>
      <c r="B45" s="10" t="s">
        <v>28</v>
      </c>
      <c r="C45" s="9" t="n">
        <v>45</v>
      </c>
      <c r="D45" s="11" t="n">
        <v>3.42</v>
      </c>
      <c r="E45" s="11" t="n">
        <v>0.36</v>
      </c>
      <c r="F45" s="11" t="n">
        <v>22.14</v>
      </c>
      <c r="G45" s="11" t="n">
        <v>110.592</v>
      </c>
    </row>
    <row r="46" customFormat="false" ht="12.75" hidden="false" customHeight="true" outlineLevel="0" collapsed="false">
      <c r="A46" s="13" t="s">
        <v>29</v>
      </c>
      <c r="B46" s="13"/>
      <c r="C46" s="6" t="n">
        <f aca="false">SUM(C42:C45)</f>
        <v>500</v>
      </c>
      <c r="D46" s="11"/>
      <c r="E46" s="11"/>
      <c r="F46" s="11"/>
      <c r="G46" s="11"/>
    </row>
    <row r="47" customFormat="false" ht="27.95" hidden="false" customHeight="true" outlineLevel="0" collapsed="false">
      <c r="A47" s="7" t="s">
        <v>53</v>
      </c>
      <c r="B47" s="7"/>
      <c r="C47" s="7"/>
      <c r="D47" s="8" t="n">
        <f aca="false">D48</f>
        <v>11.64</v>
      </c>
      <c r="E47" s="8" t="n">
        <f aca="false">E48</f>
        <v>10.52</v>
      </c>
      <c r="F47" s="8" t="n">
        <f aca="false">F48</f>
        <v>89.5</v>
      </c>
      <c r="G47" s="8" t="n">
        <f aca="false">G48</f>
        <v>519.5</v>
      </c>
    </row>
    <row r="48" customFormat="false" ht="12.75" hidden="false" customHeight="false" outlineLevel="0" collapsed="false">
      <c r="A48" s="6"/>
      <c r="B48" s="7" t="s">
        <v>18</v>
      </c>
      <c r="C48" s="6"/>
      <c r="D48" s="8" t="n">
        <f aca="false">D49+D50+D51+D52</f>
        <v>11.64</v>
      </c>
      <c r="E48" s="8" t="n">
        <f aca="false">E49+E50+E51+E52</f>
        <v>10.52</v>
      </c>
      <c r="F48" s="8" t="n">
        <f aca="false">F49+F50+F51+F52</f>
        <v>89.5</v>
      </c>
      <c r="G48" s="8" t="n">
        <f aca="false">G49+G50+G52+G51</f>
        <v>519.5</v>
      </c>
    </row>
    <row r="49" customFormat="false" ht="12.75" hidden="false" customHeight="false" outlineLevel="0" collapsed="false">
      <c r="A49" s="9"/>
      <c r="B49" s="10" t="s">
        <v>45</v>
      </c>
      <c r="C49" s="9" t="n">
        <v>100</v>
      </c>
      <c r="D49" s="11" t="n">
        <v>0.4</v>
      </c>
      <c r="E49" s="11" t="n">
        <v>0</v>
      </c>
      <c r="F49" s="11" t="n">
        <v>9.8</v>
      </c>
      <c r="G49" s="11" t="n">
        <v>42.84</v>
      </c>
    </row>
    <row r="50" customFormat="false" ht="24.75" hidden="false" customHeight="true" outlineLevel="0" collapsed="false">
      <c r="A50" s="9" t="s">
        <v>23</v>
      </c>
      <c r="B50" s="10" t="s">
        <v>54</v>
      </c>
      <c r="C50" s="9" t="n">
        <v>203</v>
      </c>
      <c r="D50" s="11" t="n">
        <v>8.2</v>
      </c>
      <c r="E50" s="11" t="n">
        <v>10.2</v>
      </c>
      <c r="F50" s="11" t="n">
        <v>50.02</v>
      </c>
      <c r="G50" s="11" t="n">
        <v>336.32</v>
      </c>
      <c r="H50" s="14"/>
      <c r="I50" s="14"/>
      <c r="J50" s="14"/>
      <c r="K50" s="14"/>
      <c r="L50" s="14"/>
      <c r="M50" s="15"/>
      <c r="N50" s="14"/>
      <c r="O50" s="14"/>
      <c r="P50" s="14"/>
      <c r="Q50" s="14"/>
      <c r="R50" s="14"/>
    </row>
    <row r="51" customFormat="false" ht="12" hidden="false" customHeight="true" outlineLevel="0" collapsed="false">
      <c r="A51" s="9" t="s">
        <v>35</v>
      </c>
      <c r="B51" s="10" t="s">
        <v>36</v>
      </c>
      <c r="C51" s="9" t="n">
        <v>200</v>
      </c>
      <c r="D51" s="11" t="n">
        <v>0</v>
      </c>
      <c r="E51" s="11" t="n">
        <v>0</v>
      </c>
      <c r="F51" s="11" t="n">
        <v>10</v>
      </c>
      <c r="G51" s="11" t="n">
        <v>42</v>
      </c>
      <c r="H51" s="14"/>
      <c r="I51" s="14"/>
      <c r="J51" s="14"/>
      <c r="K51" s="14"/>
      <c r="L51" s="14"/>
      <c r="M51" s="15"/>
      <c r="N51" s="14"/>
      <c r="O51" s="14"/>
      <c r="P51" s="14"/>
      <c r="Q51" s="14"/>
      <c r="R51" s="14"/>
    </row>
    <row r="52" customFormat="false" ht="12.75" hidden="false" customHeight="false" outlineLevel="0" collapsed="false">
      <c r="A52" s="12"/>
      <c r="B52" s="10" t="s">
        <v>28</v>
      </c>
      <c r="C52" s="9" t="n">
        <v>40</v>
      </c>
      <c r="D52" s="11" t="n">
        <v>3.04</v>
      </c>
      <c r="E52" s="11" t="n">
        <v>0.32</v>
      </c>
      <c r="F52" s="11" t="n">
        <v>19.68</v>
      </c>
      <c r="G52" s="11" t="n">
        <v>98.34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customFormat="false" ht="12.75" hidden="false" customHeight="true" outlineLevel="0" collapsed="false">
      <c r="A53" s="13" t="s">
        <v>29</v>
      </c>
      <c r="B53" s="13"/>
      <c r="C53" s="6" t="n">
        <f aca="false">C52+C51+C50+C49</f>
        <v>543</v>
      </c>
      <c r="D53" s="11"/>
      <c r="E53" s="11"/>
      <c r="F53" s="11"/>
      <c r="G53" s="11"/>
    </row>
    <row r="54" customFormat="false" ht="27.95" hidden="false" customHeight="true" outlineLevel="0" collapsed="false">
      <c r="A54" s="7" t="s">
        <v>55</v>
      </c>
      <c r="B54" s="7"/>
      <c r="C54" s="7"/>
      <c r="D54" s="8" t="n">
        <f aca="false">D55</f>
        <v>20.17</v>
      </c>
      <c r="E54" s="8" t="n">
        <f aca="false">E55</f>
        <v>13.51</v>
      </c>
      <c r="F54" s="8" t="n">
        <f aca="false">F55</f>
        <v>95.15</v>
      </c>
      <c r="G54" s="8" t="n">
        <f aca="false">G55</f>
        <v>606.516</v>
      </c>
    </row>
    <row r="55" customFormat="false" ht="12.75" hidden="false" customHeight="false" outlineLevel="0" collapsed="false">
      <c r="A55" s="6"/>
      <c r="B55" s="7" t="s">
        <v>18</v>
      </c>
      <c r="C55" s="6"/>
      <c r="D55" s="8" t="n">
        <f aca="false">D56+D57+D58+D59+D60</f>
        <v>20.17</v>
      </c>
      <c r="E55" s="8" t="n">
        <f aca="false">E56+E57+E58+E59+E60</f>
        <v>13.51</v>
      </c>
      <c r="F55" s="8" t="n">
        <f aca="false">F56+F57+F58+F59+F60</f>
        <v>95.15</v>
      </c>
      <c r="G55" s="8" t="n">
        <f aca="false">G56+G57+G58+G59+G60</f>
        <v>606.516</v>
      </c>
    </row>
    <row r="56" customFormat="false" ht="17.25" hidden="false" customHeight="true" outlineLevel="0" collapsed="false">
      <c r="A56" s="9" t="s">
        <v>56</v>
      </c>
      <c r="B56" s="10" t="s">
        <v>57</v>
      </c>
      <c r="C56" s="9" t="n">
        <v>90</v>
      </c>
      <c r="D56" s="11" t="n">
        <v>11.81</v>
      </c>
      <c r="E56" s="11" t="n">
        <v>8.11</v>
      </c>
      <c r="F56" s="11" t="n">
        <v>4.87</v>
      </c>
      <c r="G56" s="11" t="n">
        <v>143.05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customFormat="false" ht="13.5" hidden="false" customHeight="true" outlineLevel="0" collapsed="false">
      <c r="A57" s="9" t="s">
        <v>58</v>
      </c>
      <c r="B57" s="10" t="s">
        <v>59</v>
      </c>
      <c r="C57" s="9" t="n">
        <v>150</v>
      </c>
      <c r="D57" s="11" t="n">
        <v>3.81</v>
      </c>
      <c r="E57" s="11" t="n">
        <v>2.72</v>
      </c>
      <c r="F57" s="11" t="n">
        <v>40</v>
      </c>
      <c r="G57" s="11" t="n">
        <v>208.48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customFormat="false" ht="14.25" hidden="false" customHeight="true" outlineLevel="0" collapsed="false">
      <c r="A58" s="9"/>
      <c r="B58" s="10" t="s">
        <v>60</v>
      </c>
      <c r="C58" s="9" t="n">
        <v>20</v>
      </c>
      <c r="D58" s="11" t="n">
        <v>1.5</v>
      </c>
      <c r="E58" s="11" t="n">
        <v>2.36</v>
      </c>
      <c r="F58" s="11" t="n">
        <v>14.98</v>
      </c>
      <c r="G58" s="11" t="n">
        <v>91</v>
      </c>
      <c r="H58" s="1"/>
      <c r="I58" s="16"/>
      <c r="J58" s="1"/>
      <c r="K58" s="1"/>
      <c r="L58" s="16"/>
      <c r="M58" s="1"/>
      <c r="N58" s="1"/>
      <c r="O58" s="16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customFormat="false" ht="14.25" hidden="false" customHeight="true" outlineLevel="0" collapsed="false">
      <c r="A59" s="9" t="s">
        <v>61</v>
      </c>
      <c r="B59" s="10" t="s">
        <v>62</v>
      </c>
      <c r="C59" s="9" t="n">
        <v>200</v>
      </c>
      <c r="D59" s="11" t="n">
        <v>0.01</v>
      </c>
      <c r="E59" s="11"/>
      <c r="F59" s="11" t="n">
        <v>15.62</v>
      </c>
      <c r="G59" s="11" t="n">
        <v>65.646</v>
      </c>
      <c r="H59" s="1"/>
      <c r="I59" s="16"/>
      <c r="J59" s="1"/>
      <c r="K59" s="1"/>
      <c r="L59" s="16"/>
      <c r="M59" s="1"/>
      <c r="N59" s="1"/>
      <c r="O59" s="16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customFormat="false" ht="14.25" hidden="false" customHeight="true" outlineLevel="0" collapsed="false">
      <c r="A60" s="9"/>
      <c r="B60" s="10" t="s">
        <v>28</v>
      </c>
      <c r="C60" s="9" t="n">
        <v>40</v>
      </c>
      <c r="D60" s="11" t="n">
        <v>3.04</v>
      </c>
      <c r="E60" s="11" t="n">
        <v>0.32</v>
      </c>
      <c r="F60" s="11" t="n">
        <v>19.68</v>
      </c>
      <c r="G60" s="11" t="n">
        <v>98.34</v>
      </c>
      <c r="H60" s="1"/>
      <c r="I60" s="17"/>
      <c r="J60" s="1"/>
      <c r="K60" s="1"/>
      <c r="L60" s="17"/>
      <c r="M60" s="16"/>
      <c r="N60" s="16"/>
      <c r="O60" s="16"/>
      <c r="P60" s="16"/>
      <c r="Q60" s="16"/>
      <c r="R60" s="16"/>
      <c r="S60" s="16"/>
      <c r="T60" s="16"/>
      <c r="U60" s="16"/>
      <c r="V60" s="1"/>
      <c r="W60" s="16"/>
      <c r="X60" s="16"/>
      <c r="Y60" s="17"/>
    </row>
    <row r="61" customFormat="false" ht="17.25" hidden="false" customHeight="true" outlineLevel="0" collapsed="false">
      <c r="A61" s="13" t="s">
        <v>29</v>
      </c>
      <c r="B61" s="13"/>
      <c r="C61" s="6" t="n">
        <f aca="false">C60+C59+C58+C57+C56</f>
        <v>500</v>
      </c>
      <c r="D61" s="11"/>
      <c r="E61" s="11"/>
      <c r="F61" s="11"/>
      <c r="G61" s="11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customFormat="false" ht="27.95" hidden="false" customHeight="true" outlineLevel="0" collapsed="false">
      <c r="A62" s="7" t="s">
        <v>63</v>
      </c>
      <c r="B62" s="7"/>
      <c r="C62" s="7"/>
      <c r="D62" s="8" t="n">
        <f aca="false">D63</f>
        <v>17.76</v>
      </c>
      <c r="E62" s="8" t="n">
        <f aca="false">E63</f>
        <v>14.36</v>
      </c>
      <c r="F62" s="8" t="n">
        <f aca="false">F63</f>
        <v>71.48</v>
      </c>
      <c r="G62" s="8" t="n">
        <f aca="false">G63</f>
        <v>504.636</v>
      </c>
    </row>
    <row r="63" customFormat="false" ht="12.75" hidden="false" customHeight="false" outlineLevel="0" collapsed="false">
      <c r="A63" s="6"/>
      <c r="B63" s="7" t="s">
        <v>18</v>
      </c>
      <c r="C63" s="6"/>
      <c r="D63" s="8" t="n">
        <f aca="false">D64+D65+D66+D67</f>
        <v>17.76</v>
      </c>
      <c r="E63" s="8" t="n">
        <f aca="false">E64+E65+E66+E67</f>
        <v>14.36</v>
      </c>
      <c r="F63" s="8" t="n">
        <f aca="false">F64+F65+F66+F67</f>
        <v>71.48</v>
      </c>
      <c r="G63" s="8" t="n">
        <f aca="false">G64+G65+G66+G67</f>
        <v>504.636</v>
      </c>
    </row>
    <row r="64" customFormat="false" ht="25.5" hidden="false" customHeight="false" outlineLevel="0" collapsed="false">
      <c r="A64" s="9" t="s">
        <v>64</v>
      </c>
      <c r="B64" s="10" t="s">
        <v>65</v>
      </c>
      <c r="C64" s="9" t="n">
        <v>110</v>
      </c>
      <c r="D64" s="11" t="n">
        <v>9.08</v>
      </c>
      <c r="E64" s="11" t="n">
        <v>11.2</v>
      </c>
      <c r="F64" s="11" t="n">
        <v>5.8</v>
      </c>
      <c r="G64" s="11" t="n">
        <v>163.296</v>
      </c>
    </row>
    <row r="65" customFormat="false" ht="12.75" hidden="false" customHeight="false" outlineLevel="0" collapsed="false">
      <c r="A65" s="9" t="s">
        <v>51</v>
      </c>
      <c r="B65" s="10" t="s">
        <v>52</v>
      </c>
      <c r="C65" s="9" t="n">
        <v>150</v>
      </c>
      <c r="D65" s="11" t="n">
        <v>5.64</v>
      </c>
      <c r="E65" s="11" t="n">
        <v>2.84</v>
      </c>
      <c r="F65" s="11" t="n">
        <v>36</v>
      </c>
      <c r="G65" s="11" t="n">
        <v>201</v>
      </c>
    </row>
    <row r="66" customFormat="false" ht="12.75" hidden="false" customHeight="false" outlineLevel="0" collapsed="false">
      <c r="A66" s="9" t="s">
        <v>35</v>
      </c>
      <c r="B66" s="10" t="s">
        <v>36</v>
      </c>
      <c r="C66" s="12" t="n">
        <v>200</v>
      </c>
      <c r="D66" s="11" t="n">
        <v>0</v>
      </c>
      <c r="E66" s="11" t="n">
        <v>0</v>
      </c>
      <c r="F66" s="11" t="n">
        <v>10</v>
      </c>
      <c r="G66" s="11" t="n">
        <v>42</v>
      </c>
    </row>
    <row r="67" customFormat="false" ht="12.75" hidden="false" customHeight="false" outlineLevel="0" collapsed="false">
      <c r="A67" s="9"/>
      <c r="B67" s="10" t="s">
        <v>28</v>
      </c>
      <c r="C67" s="9" t="n">
        <v>40</v>
      </c>
      <c r="D67" s="11" t="n">
        <v>3.04</v>
      </c>
      <c r="E67" s="11" t="n">
        <v>0.32</v>
      </c>
      <c r="F67" s="11" t="n">
        <v>19.68</v>
      </c>
      <c r="G67" s="11" t="n">
        <v>98.34</v>
      </c>
    </row>
    <row r="68" customFormat="false" ht="12.75" hidden="false" customHeight="true" outlineLevel="0" collapsed="false">
      <c r="A68" s="13" t="s">
        <v>29</v>
      </c>
      <c r="B68" s="13"/>
      <c r="C68" s="18" t="n">
        <f aca="false">SUM(C64:C67)</f>
        <v>500</v>
      </c>
      <c r="D68" s="11"/>
      <c r="E68" s="11"/>
      <c r="F68" s="11"/>
      <c r="G68" s="11"/>
    </row>
    <row r="69" customFormat="false" ht="27.95" hidden="false" customHeight="true" outlineLevel="0" collapsed="false">
      <c r="A69" s="7" t="s">
        <v>66</v>
      </c>
      <c r="B69" s="7"/>
      <c r="C69" s="7"/>
      <c r="D69" s="8" t="n">
        <f aca="false">D70</f>
        <v>28.65</v>
      </c>
      <c r="E69" s="8" t="n">
        <f aca="false">E70</f>
        <v>11.99</v>
      </c>
      <c r="F69" s="8" t="n">
        <f aca="false">F70</f>
        <v>73.56</v>
      </c>
      <c r="G69" s="8" t="n">
        <f aca="false">G70</f>
        <v>537.272</v>
      </c>
    </row>
    <row r="70" customFormat="false" ht="12.75" hidden="false" customHeight="false" outlineLevel="0" collapsed="false">
      <c r="A70" s="6"/>
      <c r="B70" s="7" t="s">
        <v>18</v>
      </c>
      <c r="C70" s="6"/>
      <c r="D70" s="8" t="n">
        <f aca="false">D71+D72+D73+D74+D75</f>
        <v>28.65</v>
      </c>
      <c r="E70" s="8" t="n">
        <f aca="false">E71+E72+E73+E74+E75</f>
        <v>11.99</v>
      </c>
      <c r="F70" s="8" t="n">
        <f aca="false">F71+F72+F73+F74+F75</f>
        <v>73.56</v>
      </c>
      <c r="G70" s="8" t="n">
        <f aca="false">G71+G72+G73+G74+G75</f>
        <v>537.272</v>
      </c>
    </row>
    <row r="71" customFormat="false" ht="15" hidden="false" customHeight="true" outlineLevel="0" collapsed="false">
      <c r="A71" s="9"/>
      <c r="B71" s="10" t="s">
        <v>67</v>
      </c>
      <c r="C71" s="9" t="n">
        <v>40</v>
      </c>
      <c r="D71" s="11" t="n">
        <v>5.08</v>
      </c>
      <c r="E71" s="11" t="n">
        <v>4.6</v>
      </c>
      <c r="F71" s="11" t="n">
        <v>0.28</v>
      </c>
      <c r="G71" s="11" t="n">
        <v>63.912</v>
      </c>
    </row>
    <row r="72" customFormat="false" ht="25.5" hidden="false" customHeight="false" outlineLevel="0" collapsed="false">
      <c r="A72" s="9" t="s">
        <v>68</v>
      </c>
      <c r="B72" s="19" t="s">
        <v>69</v>
      </c>
      <c r="C72" s="20" t="n">
        <v>120</v>
      </c>
      <c r="D72" s="21" t="n">
        <f aca="false">18.92+0.06</f>
        <v>18.98</v>
      </c>
      <c r="E72" s="21" t="n">
        <f aca="false">7.01+0.06</f>
        <v>7.07</v>
      </c>
      <c r="F72" s="21" t="n">
        <f aca="false">15+16.77</f>
        <v>31.77</v>
      </c>
      <c r="G72" s="21" t="n">
        <v>276.78</v>
      </c>
    </row>
    <row r="73" customFormat="false" ht="12.75" hidden="false" customHeight="false" outlineLevel="0" collapsed="false">
      <c r="A73" s="9"/>
      <c r="B73" s="10" t="s">
        <v>45</v>
      </c>
      <c r="C73" s="9" t="n">
        <v>100</v>
      </c>
      <c r="D73" s="11" t="n">
        <v>0.4</v>
      </c>
      <c r="E73" s="11" t="n">
        <v>0</v>
      </c>
      <c r="F73" s="11" t="n">
        <v>9.8</v>
      </c>
      <c r="G73" s="11" t="n">
        <v>42.84</v>
      </c>
    </row>
    <row r="74" customFormat="false" ht="12.75" hidden="false" customHeight="false" outlineLevel="0" collapsed="false">
      <c r="A74" s="9" t="s">
        <v>42</v>
      </c>
      <c r="B74" s="10" t="s">
        <v>70</v>
      </c>
      <c r="C74" s="9" t="n">
        <v>200</v>
      </c>
      <c r="D74" s="11" t="n">
        <v>1.15</v>
      </c>
      <c r="E74" s="11"/>
      <c r="F74" s="11" t="n">
        <v>12.03</v>
      </c>
      <c r="G74" s="11" t="n">
        <v>55.4</v>
      </c>
    </row>
    <row r="75" customFormat="false" ht="12.75" hidden="false" customHeight="false" outlineLevel="0" collapsed="false">
      <c r="A75" s="9"/>
      <c r="B75" s="10" t="s">
        <v>28</v>
      </c>
      <c r="C75" s="9" t="n">
        <v>40</v>
      </c>
      <c r="D75" s="11" t="n">
        <v>3.04</v>
      </c>
      <c r="E75" s="11" t="n">
        <v>0.32</v>
      </c>
      <c r="F75" s="11" t="n">
        <v>19.68</v>
      </c>
      <c r="G75" s="11" t="n">
        <v>98.34</v>
      </c>
    </row>
    <row r="76" customFormat="false" ht="12.75" hidden="false" customHeight="true" outlineLevel="0" collapsed="false">
      <c r="A76" s="13" t="s">
        <v>29</v>
      </c>
      <c r="B76" s="13"/>
      <c r="C76" s="6" t="n">
        <f aca="false">SUM(C71:C75)</f>
        <v>500</v>
      </c>
      <c r="D76" s="11"/>
      <c r="E76" s="11"/>
      <c r="F76" s="11"/>
      <c r="G76" s="11"/>
    </row>
    <row r="77" customFormat="false" ht="27.95" hidden="false" customHeight="true" outlineLevel="0" collapsed="false">
      <c r="A77" s="7" t="s">
        <v>71</v>
      </c>
      <c r="B77" s="7"/>
      <c r="C77" s="7"/>
      <c r="D77" s="8" t="n">
        <f aca="false">D78</f>
        <v>24.86</v>
      </c>
      <c r="E77" s="8" t="n">
        <f aca="false">E78</f>
        <v>13.04</v>
      </c>
      <c r="F77" s="8" t="n">
        <f aca="false">F78</f>
        <v>74.82</v>
      </c>
      <c r="G77" s="8" t="n">
        <f aca="false">G78</f>
        <v>536.82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22"/>
    </row>
    <row r="78" customFormat="false" ht="12.75" hidden="false" customHeight="false" outlineLevel="0" collapsed="false">
      <c r="A78" s="6"/>
      <c r="B78" s="7" t="s">
        <v>18</v>
      </c>
      <c r="C78" s="6"/>
      <c r="D78" s="8" t="n">
        <f aca="false">D79+D80+D81+D82+D83</f>
        <v>24.86</v>
      </c>
      <c r="E78" s="8" t="n">
        <f aca="false">E79+E80+E81+E82+E83</f>
        <v>13.04</v>
      </c>
      <c r="F78" s="8" t="n">
        <f aca="false">F79+F80+F81+F82+F83</f>
        <v>74.82</v>
      </c>
      <c r="G78" s="8" t="n">
        <f aca="false">G79+G80+G81+G82+G83</f>
        <v>536.82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22"/>
    </row>
    <row r="79" customFormat="false" ht="12.75" hidden="false" customHeight="false" outlineLevel="0" collapsed="false">
      <c r="A79" s="9" t="s">
        <v>72</v>
      </c>
      <c r="B79" s="10" t="s">
        <v>73</v>
      </c>
      <c r="C79" s="9" t="n">
        <v>100</v>
      </c>
      <c r="D79" s="11" t="n">
        <v>17.83</v>
      </c>
      <c r="E79" s="11" t="n">
        <v>7.99</v>
      </c>
      <c r="F79" s="11" t="n">
        <v>4.25</v>
      </c>
      <c r="G79" s="11" t="n">
        <v>165</v>
      </c>
      <c r="H79" s="1"/>
      <c r="I79" s="1"/>
      <c r="J79" s="1"/>
      <c r="K79" s="1"/>
      <c r="L79" s="1"/>
      <c r="M79" s="1"/>
      <c r="N79" s="1"/>
      <c r="O79" s="16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customFormat="false" ht="12.75" hidden="false" customHeight="false" outlineLevel="0" collapsed="false">
      <c r="A80" s="9" t="s">
        <v>58</v>
      </c>
      <c r="B80" s="10" t="s">
        <v>59</v>
      </c>
      <c r="C80" s="9" t="n">
        <v>150</v>
      </c>
      <c r="D80" s="11" t="n">
        <v>3.81</v>
      </c>
      <c r="E80" s="11" t="n">
        <v>2.72</v>
      </c>
      <c r="F80" s="11" t="n">
        <v>40</v>
      </c>
      <c r="G80" s="11" t="n">
        <v>208.48</v>
      </c>
      <c r="H80" s="1"/>
      <c r="I80" s="1"/>
      <c r="J80" s="1"/>
      <c r="K80" s="1"/>
      <c r="L80" s="1"/>
      <c r="M80" s="16"/>
      <c r="N80" s="1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customFormat="false" ht="12.75" hidden="false" customHeight="false" outlineLevel="0" collapsed="false">
      <c r="A81" s="12" t="s">
        <v>74</v>
      </c>
      <c r="B81" s="10" t="s">
        <v>75</v>
      </c>
      <c r="C81" s="9" t="n">
        <v>20</v>
      </c>
      <c r="D81" s="11" t="n">
        <v>0.18</v>
      </c>
      <c r="E81" s="11" t="n">
        <v>2.01</v>
      </c>
      <c r="F81" s="11" t="n">
        <v>0.89</v>
      </c>
      <c r="G81" s="11" t="n">
        <v>23</v>
      </c>
      <c r="H81" s="1"/>
      <c r="I81" s="16"/>
      <c r="J81" s="1"/>
      <c r="K81" s="1"/>
      <c r="L81" s="1"/>
      <c r="M81" s="1"/>
      <c r="N81" s="1"/>
      <c r="O81" s="16"/>
      <c r="P81" s="16"/>
      <c r="Q81" s="16"/>
      <c r="R81" s="16"/>
      <c r="S81" s="16"/>
      <c r="T81" s="16"/>
      <c r="U81" s="16"/>
      <c r="V81" s="1"/>
      <c r="W81" s="16"/>
      <c r="X81" s="16"/>
      <c r="Y81" s="1"/>
    </row>
    <row r="82" customFormat="false" ht="12.75" hidden="false" customHeight="false" outlineLevel="0" collapsed="false">
      <c r="A82" s="9" t="s">
        <v>35</v>
      </c>
      <c r="B82" s="10" t="s">
        <v>36</v>
      </c>
      <c r="C82" s="12" t="n">
        <v>200</v>
      </c>
      <c r="D82" s="11" t="n">
        <v>0</v>
      </c>
      <c r="E82" s="11" t="n">
        <v>0</v>
      </c>
      <c r="F82" s="11" t="n">
        <v>10</v>
      </c>
      <c r="G82" s="11" t="n">
        <v>42</v>
      </c>
      <c r="H82" s="1"/>
      <c r="I82" s="16"/>
      <c r="J82" s="1"/>
      <c r="K82" s="1"/>
      <c r="L82" s="1"/>
      <c r="M82" s="1"/>
      <c r="N82" s="1"/>
      <c r="O82" s="16"/>
      <c r="P82" s="16"/>
      <c r="Q82" s="16"/>
      <c r="R82" s="16"/>
      <c r="S82" s="16"/>
      <c r="T82" s="16"/>
      <c r="U82" s="16"/>
      <c r="V82" s="1"/>
      <c r="W82" s="16"/>
      <c r="X82" s="16"/>
      <c r="Y82" s="1"/>
    </row>
    <row r="83" customFormat="false" ht="12.75" hidden="false" customHeight="false" outlineLevel="0" collapsed="false">
      <c r="A83" s="9"/>
      <c r="B83" s="10" t="s">
        <v>28</v>
      </c>
      <c r="C83" s="9" t="n">
        <v>40</v>
      </c>
      <c r="D83" s="11" t="n">
        <v>3.04</v>
      </c>
      <c r="E83" s="11" t="n">
        <v>0.32</v>
      </c>
      <c r="F83" s="11" t="n">
        <v>19.68</v>
      </c>
      <c r="G83" s="11" t="n">
        <v>98.34</v>
      </c>
      <c r="H83" s="1"/>
      <c r="I83" s="17"/>
      <c r="J83" s="1"/>
      <c r="K83" s="1"/>
      <c r="L83" s="17"/>
      <c r="M83" s="16"/>
      <c r="N83" s="16"/>
      <c r="O83" s="16"/>
      <c r="P83" s="16"/>
      <c r="Q83" s="16"/>
      <c r="R83" s="16"/>
      <c r="S83" s="16"/>
      <c r="T83" s="16"/>
      <c r="U83" s="16"/>
      <c r="V83" s="1"/>
      <c r="W83" s="16"/>
      <c r="X83" s="16"/>
      <c r="Y83" s="17"/>
    </row>
    <row r="84" customFormat="false" ht="12.75" hidden="false" customHeight="true" outlineLevel="0" collapsed="false">
      <c r="A84" s="13" t="s">
        <v>29</v>
      </c>
      <c r="B84" s="13"/>
      <c r="C84" s="18" t="n">
        <f aca="false">SUM(C79:C83)</f>
        <v>510</v>
      </c>
      <c r="D84" s="9"/>
      <c r="E84" s="9"/>
      <c r="F84" s="9"/>
      <c r="G84" s="9"/>
      <c r="H84" s="1"/>
      <c r="I84" s="16"/>
      <c r="J84" s="1"/>
      <c r="K84" s="1"/>
      <c r="L84" s="1"/>
      <c r="M84" s="17"/>
      <c r="N84" s="17"/>
      <c r="O84" s="16"/>
      <c r="P84" s="16"/>
      <c r="Q84" s="16"/>
      <c r="R84" s="16"/>
      <c r="S84" s="16"/>
      <c r="T84" s="16"/>
      <c r="U84" s="16"/>
      <c r="V84" s="17"/>
      <c r="W84" s="16"/>
      <c r="X84" s="16"/>
      <c r="Y84" s="17"/>
    </row>
  </sheetData>
  <mergeCells count="27">
    <mergeCell ref="A1:G2"/>
    <mergeCell ref="A3:G4"/>
    <mergeCell ref="A5:A6"/>
    <mergeCell ref="B5:B6"/>
    <mergeCell ref="C5:C6"/>
    <mergeCell ref="D5:F5"/>
    <mergeCell ref="G5:G6"/>
    <mergeCell ref="A8:C8"/>
    <mergeCell ref="A18:B18"/>
    <mergeCell ref="A19:C19"/>
    <mergeCell ref="A25:B25"/>
    <mergeCell ref="A26:C26"/>
    <mergeCell ref="A32:B32"/>
    <mergeCell ref="A33:C33"/>
    <mergeCell ref="A39:B39"/>
    <mergeCell ref="A40:C40"/>
    <mergeCell ref="A46:B46"/>
    <mergeCell ref="A47:C47"/>
    <mergeCell ref="A53:B53"/>
    <mergeCell ref="A54:C54"/>
    <mergeCell ref="A61:B61"/>
    <mergeCell ref="A62:C62"/>
    <mergeCell ref="A68:B68"/>
    <mergeCell ref="A69:C69"/>
    <mergeCell ref="A76:B76"/>
    <mergeCell ref="A77:C77"/>
    <mergeCell ref="A84:B84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D7:J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B9" activeCellId="0" sqref="AB9"/>
    </sheetView>
  </sheetViews>
  <sheetFormatPr defaultColWidth="8.6875" defaultRowHeight="12.75" zeroHeight="false" outlineLevelRow="0" outlineLevelCol="0"/>
  <cols>
    <col collapsed="false" customWidth="true" hidden="false" outlineLevel="0" max="3" min="3" style="0" width="3.86"/>
    <col collapsed="false" customWidth="true" hidden="true" outlineLevel="0" max="10" min="9" style="0" width="9.14"/>
  </cols>
  <sheetData>
    <row r="7" customFormat="false" ht="12.75" hidden="false" customHeight="true" outlineLevel="0" collapsed="false">
      <c r="D7" s="206" t="s">
        <v>258</v>
      </c>
      <c r="E7" s="206"/>
      <c r="F7" s="206"/>
      <c r="G7" s="206"/>
      <c r="H7" s="206"/>
      <c r="I7" s="206"/>
      <c r="J7" s="206"/>
    </row>
    <row r="8" customFormat="false" ht="12.75" hidden="false" customHeight="false" outlineLevel="0" collapsed="false">
      <c r="D8" s="206"/>
      <c r="E8" s="206"/>
      <c r="F8" s="206"/>
      <c r="G8" s="206"/>
      <c r="H8" s="206"/>
      <c r="I8" s="206"/>
      <c r="J8" s="206"/>
    </row>
    <row r="9" customFormat="false" ht="12.75" hidden="false" customHeight="false" outlineLevel="0" collapsed="false">
      <c r="D9" s="206"/>
      <c r="E9" s="206"/>
      <c r="F9" s="206"/>
      <c r="G9" s="206"/>
      <c r="H9" s="206"/>
      <c r="I9" s="206"/>
      <c r="J9" s="206"/>
    </row>
    <row r="10" customFormat="false" ht="12.75" hidden="false" customHeight="false" outlineLevel="0" collapsed="false">
      <c r="D10" s="206"/>
      <c r="E10" s="206"/>
      <c r="F10" s="206"/>
      <c r="G10" s="206"/>
      <c r="H10" s="206"/>
      <c r="I10" s="206"/>
      <c r="J10" s="206"/>
    </row>
    <row r="11" customFormat="false" ht="12.75" hidden="false" customHeight="false" outlineLevel="0" collapsed="false">
      <c r="D11" s="206"/>
      <c r="E11" s="206"/>
      <c r="F11" s="206"/>
      <c r="G11" s="206"/>
      <c r="H11" s="206"/>
      <c r="I11" s="206"/>
      <c r="J11" s="206"/>
    </row>
    <row r="12" customFormat="false" ht="12.75" hidden="false" customHeight="false" outlineLevel="0" collapsed="false">
      <c r="D12" s="206"/>
      <c r="E12" s="206"/>
      <c r="F12" s="206"/>
      <c r="G12" s="206"/>
      <c r="H12" s="206"/>
      <c r="I12" s="206"/>
      <c r="J12" s="206"/>
    </row>
    <row r="13" customFormat="false" ht="12.75" hidden="false" customHeight="false" outlineLevel="0" collapsed="false">
      <c r="D13" s="206"/>
      <c r="E13" s="206"/>
      <c r="F13" s="206"/>
      <c r="G13" s="206"/>
      <c r="H13" s="206"/>
      <c r="I13" s="206"/>
      <c r="J13" s="206"/>
    </row>
    <row r="14" customFormat="false" ht="12.75" hidden="false" customHeight="false" outlineLevel="0" collapsed="false">
      <c r="D14" s="206"/>
      <c r="E14" s="206"/>
      <c r="F14" s="206"/>
      <c r="G14" s="206"/>
      <c r="H14" s="206"/>
      <c r="I14" s="206"/>
      <c r="J14" s="206"/>
    </row>
    <row r="15" customFormat="false" ht="12.75" hidden="false" customHeight="false" outlineLevel="0" collapsed="false">
      <c r="D15" s="206"/>
      <c r="E15" s="206"/>
      <c r="F15" s="206"/>
      <c r="G15" s="206"/>
      <c r="H15" s="206"/>
      <c r="I15" s="206"/>
      <c r="J15" s="206"/>
    </row>
    <row r="16" customFormat="false" ht="12.75" hidden="false" customHeight="false" outlineLevel="0" collapsed="false">
      <c r="D16" s="206"/>
      <c r="E16" s="206"/>
      <c r="F16" s="206"/>
      <c r="G16" s="206"/>
      <c r="H16" s="206"/>
      <c r="I16" s="206"/>
      <c r="J16" s="206"/>
    </row>
    <row r="17" customFormat="false" ht="12.75" hidden="false" customHeight="false" outlineLevel="0" collapsed="false">
      <c r="D17" s="206"/>
      <c r="E17" s="206"/>
      <c r="F17" s="206"/>
      <c r="G17" s="206"/>
      <c r="H17" s="206"/>
      <c r="I17" s="206"/>
      <c r="J17" s="206"/>
    </row>
    <row r="18" customFormat="false" ht="12.75" hidden="false" customHeight="false" outlineLevel="0" collapsed="false">
      <c r="D18" s="206"/>
      <c r="E18" s="206"/>
      <c r="F18" s="206"/>
      <c r="G18" s="206"/>
      <c r="H18" s="206"/>
      <c r="I18" s="206"/>
      <c r="J18" s="206"/>
    </row>
    <row r="19" customFormat="false" ht="12.75" hidden="false" customHeight="false" outlineLevel="0" collapsed="false">
      <c r="D19" s="206"/>
      <c r="E19" s="206"/>
      <c r="F19" s="206"/>
      <c r="G19" s="206"/>
      <c r="H19" s="206"/>
      <c r="I19" s="206"/>
      <c r="J19" s="206"/>
    </row>
    <row r="20" customFormat="false" ht="12.75" hidden="false" customHeight="false" outlineLevel="0" collapsed="false">
      <c r="D20" s="206"/>
      <c r="E20" s="206"/>
      <c r="F20" s="206"/>
      <c r="G20" s="206"/>
      <c r="H20" s="206"/>
      <c r="I20" s="206"/>
      <c r="J20" s="206"/>
    </row>
    <row r="21" customFormat="false" ht="12.75" hidden="false" customHeight="false" outlineLevel="0" collapsed="false">
      <c r="D21" s="206"/>
      <c r="E21" s="206"/>
      <c r="F21" s="206"/>
      <c r="G21" s="206"/>
      <c r="H21" s="206"/>
      <c r="I21" s="206"/>
      <c r="J21" s="206"/>
    </row>
    <row r="22" customFormat="false" ht="12.75" hidden="false" customHeight="false" outlineLevel="0" collapsed="false">
      <c r="D22" s="206"/>
      <c r="E22" s="206"/>
      <c r="F22" s="206"/>
      <c r="G22" s="206"/>
      <c r="H22" s="206"/>
      <c r="I22" s="206"/>
      <c r="J22" s="206"/>
    </row>
    <row r="23" customFormat="false" ht="12.75" hidden="false" customHeight="false" outlineLevel="0" collapsed="false">
      <c r="D23" s="206"/>
      <c r="E23" s="206"/>
      <c r="F23" s="206"/>
      <c r="G23" s="206"/>
      <c r="H23" s="206"/>
      <c r="I23" s="206"/>
      <c r="J23" s="206"/>
    </row>
    <row r="24" customFormat="false" ht="12.75" hidden="false" customHeight="false" outlineLevel="0" collapsed="false">
      <c r="D24" s="206"/>
      <c r="E24" s="206"/>
      <c r="F24" s="206"/>
      <c r="G24" s="206"/>
      <c r="H24" s="206"/>
      <c r="I24" s="206"/>
      <c r="J24" s="206"/>
    </row>
    <row r="25" customFormat="false" ht="12.75" hidden="false" customHeight="false" outlineLevel="0" collapsed="false">
      <c r="D25" s="206"/>
      <c r="E25" s="206"/>
      <c r="F25" s="206"/>
      <c r="G25" s="206"/>
      <c r="H25" s="206"/>
      <c r="I25" s="206"/>
      <c r="J25" s="206"/>
    </row>
  </sheetData>
  <mergeCells count="1">
    <mergeCell ref="D7:J2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Y94"/>
  <sheetViews>
    <sheetView showFormulas="false" showGridLines="true" showRowColHeaders="true" showZeros="true" rightToLeft="false" tabSelected="true" showOutlineSymbols="true" defaultGridColor="true" view="normal" topLeftCell="A64" colorId="64" zoomScale="106" zoomScaleNormal="106" zoomScalePageLayoutView="100" workbookViewId="0">
      <selection pane="topLeft" activeCell="G100" activeCellId="0" sqref="G100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2" width="32.86"/>
    <col collapsed="false" customWidth="true" hidden="false" outlineLevel="0" max="3" min="3" style="1" width="10.14"/>
    <col collapsed="false" customWidth="true" hidden="false" outlineLevel="0" max="4" min="4" style="1" width="7.29"/>
    <col collapsed="false" customWidth="true" hidden="false" outlineLevel="0" max="5" min="5" style="1" width="7.71"/>
    <col collapsed="false" customWidth="true" hidden="false" outlineLevel="0" max="6" min="6" style="1" width="8.42"/>
    <col collapsed="false" customWidth="true" hidden="false" outlineLevel="0" max="7" min="7" style="1" width="10.71"/>
    <col collapsed="false" customWidth="false" hidden="false" outlineLevel="0" max="1024" min="8" style="3" width="9.14"/>
  </cols>
  <sheetData>
    <row r="1" customFormat="false" ht="12.75" hidden="false" customHeight="true" outlineLevel="0" collapsed="false">
      <c r="A1" s="4"/>
      <c r="B1" s="4"/>
      <c r="C1" s="4"/>
      <c r="D1" s="4"/>
      <c r="E1" s="4"/>
      <c r="F1" s="4"/>
      <c r="G1" s="4"/>
    </row>
    <row r="2" customFormat="false" ht="20.25" hidden="false" customHeight="true" outlineLevel="0" collapsed="false">
      <c r="A2" s="4"/>
      <c r="B2" s="4"/>
      <c r="C2" s="4"/>
      <c r="D2" s="4"/>
      <c r="E2" s="4"/>
      <c r="F2" s="4"/>
      <c r="G2" s="4"/>
    </row>
    <row r="3" customFormat="false" ht="17.25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35.25" hidden="false" customHeight="true" outlineLevel="0" collapsed="false">
      <c r="A4" s="5"/>
      <c r="B4" s="5"/>
      <c r="C4" s="5"/>
      <c r="D4" s="5"/>
      <c r="E4" s="5"/>
      <c r="F4" s="5"/>
      <c r="G4" s="5"/>
    </row>
    <row r="5" s="4" customFormat="true" ht="33.75" hidden="false" customHeight="true" outlineLevel="0" collapsed="false">
      <c r="A5" s="6"/>
      <c r="B5" s="6"/>
      <c r="C5" s="6"/>
      <c r="D5" s="6"/>
      <c r="E5" s="6"/>
      <c r="F5" s="6"/>
      <c r="G5" s="6"/>
    </row>
    <row r="6" s="4" customFormat="true" ht="34.5" hidden="false" customHeight="true" outlineLevel="0" collapsed="false">
      <c r="A6" s="6"/>
      <c r="B6" s="6"/>
      <c r="C6" s="6"/>
      <c r="D6" s="6"/>
      <c r="E6" s="6"/>
      <c r="F6" s="6"/>
      <c r="G6" s="6"/>
    </row>
    <row r="7" s="4" customFormat="true" ht="12.75" hidden="false" customHeight="false" outlineLevel="0" collapsed="false">
      <c r="A7" s="6"/>
      <c r="B7" s="23"/>
      <c r="C7" s="6"/>
      <c r="D7" s="6"/>
      <c r="E7" s="6"/>
      <c r="F7" s="6"/>
      <c r="G7" s="6"/>
    </row>
    <row r="8" customFormat="false" ht="27.95" hidden="false" customHeight="true" outlineLevel="0" collapsed="false">
      <c r="A8" s="7"/>
      <c r="B8" s="7"/>
      <c r="C8" s="7"/>
      <c r="D8" s="8"/>
      <c r="E8" s="8"/>
      <c r="F8" s="8"/>
      <c r="G8" s="8"/>
    </row>
    <row r="9" customFormat="false" ht="12.75" hidden="false" customHeight="false" outlineLevel="0" collapsed="false">
      <c r="A9" s="9"/>
      <c r="B9" s="24"/>
      <c r="C9" s="23"/>
      <c r="D9" s="8"/>
      <c r="E9" s="8"/>
      <c r="F9" s="8"/>
      <c r="G9" s="8"/>
    </row>
    <row r="10" customFormat="false" ht="12.75" hidden="false" customHeight="false" outlineLevel="0" collapsed="false">
      <c r="A10" s="9"/>
      <c r="B10" s="25"/>
      <c r="C10" s="26"/>
      <c r="D10" s="11"/>
      <c r="E10" s="11"/>
      <c r="F10" s="11"/>
      <c r="G10" s="11"/>
    </row>
    <row r="11" customFormat="false" ht="18" hidden="false" customHeight="true" outlineLevel="0" collapsed="false">
      <c r="A11" s="9"/>
      <c r="B11" s="25"/>
      <c r="C11" s="9"/>
      <c r="D11" s="11"/>
      <c r="E11" s="11"/>
      <c r="F11" s="11"/>
      <c r="G11" s="11"/>
    </row>
    <row r="12" customFormat="false" ht="12.75" hidden="false" customHeight="false" outlineLevel="0" collapsed="false">
      <c r="A12" s="9"/>
      <c r="B12" s="25"/>
      <c r="C12" s="9"/>
      <c r="D12" s="11"/>
      <c r="E12" s="11"/>
      <c r="F12" s="11"/>
      <c r="G12" s="11"/>
    </row>
    <row r="13" customFormat="false" ht="12.75" hidden="false" customHeight="false" outlineLevel="0" collapsed="false">
      <c r="A13" s="9"/>
      <c r="B13" s="25"/>
      <c r="C13" s="9"/>
      <c r="D13" s="11"/>
      <c r="E13" s="11"/>
      <c r="F13" s="11"/>
      <c r="G13" s="11"/>
    </row>
    <row r="14" customFormat="false" ht="12.75" hidden="false" customHeight="false" outlineLevel="0" collapsed="false">
      <c r="A14" s="9"/>
      <c r="B14" s="25"/>
      <c r="C14" s="9"/>
      <c r="D14" s="11"/>
      <c r="E14" s="11"/>
      <c r="F14" s="11"/>
      <c r="G14" s="11"/>
    </row>
    <row r="15" customFormat="false" ht="12.75" hidden="false" customHeight="false" outlineLevel="0" collapsed="false">
      <c r="A15" s="13"/>
      <c r="B15" s="13"/>
      <c r="C15" s="6"/>
      <c r="D15" s="11"/>
      <c r="E15" s="11"/>
      <c r="F15" s="11"/>
      <c r="G15" s="11"/>
    </row>
    <row r="16" customFormat="false" ht="27.95" hidden="false" customHeight="true" outlineLevel="0" collapsed="false">
      <c r="A16" s="7"/>
      <c r="B16" s="7"/>
      <c r="C16" s="7"/>
      <c r="D16" s="8"/>
      <c r="E16" s="8"/>
      <c r="F16" s="8"/>
      <c r="G16" s="8"/>
    </row>
    <row r="17" customFormat="false" ht="12.75" hidden="false" customHeight="false" outlineLevel="0" collapsed="false">
      <c r="A17" s="9"/>
      <c r="B17" s="24"/>
      <c r="C17" s="23"/>
      <c r="D17" s="8"/>
      <c r="E17" s="8"/>
      <c r="F17" s="8"/>
      <c r="G17" s="8"/>
    </row>
    <row r="18" customFormat="false" ht="12.75" hidden="false" customHeight="false" outlineLevel="0" collapsed="false">
      <c r="A18" s="9"/>
      <c r="B18" s="25"/>
      <c r="C18" s="9"/>
      <c r="D18" s="27"/>
      <c r="E18" s="11"/>
      <c r="F18" s="11"/>
      <c r="G18" s="11"/>
    </row>
    <row r="19" customFormat="false" ht="12.75" hidden="false" customHeight="false" outlineLevel="0" collapsed="false">
      <c r="A19" s="9"/>
      <c r="B19" s="25"/>
      <c r="C19" s="9"/>
      <c r="D19" s="11"/>
      <c r="E19" s="11"/>
      <c r="F19" s="11"/>
      <c r="G19" s="11"/>
    </row>
    <row r="20" customFormat="false" ht="12.75" hidden="false" customHeight="false" outlineLevel="0" collapsed="false">
      <c r="A20" s="9"/>
      <c r="B20" s="25"/>
      <c r="C20" s="26"/>
      <c r="D20" s="11"/>
      <c r="E20" s="11"/>
      <c r="F20" s="11"/>
      <c r="G20" s="11"/>
    </row>
    <row r="21" customFormat="false" ht="12.75" hidden="false" customHeight="false" outlineLevel="0" collapsed="false">
      <c r="A21" s="9"/>
      <c r="B21" s="25"/>
      <c r="C21" s="9"/>
      <c r="D21" s="11"/>
      <c r="E21" s="11"/>
      <c r="F21" s="11"/>
      <c r="G21" s="11"/>
    </row>
    <row r="22" customFormat="false" ht="12.75" hidden="false" customHeight="false" outlineLevel="0" collapsed="false">
      <c r="A22" s="28"/>
      <c r="B22" s="29"/>
      <c r="C22" s="9"/>
      <c r="D22" s="11"/>
      <c r="E22" s="11"/>
      <c r="F22" s="11"/>
      <c r="G22" s="11"/>
    </row>
    <row r="23" customFormat="false" ht="12.75" hidden="false" customHeight="false" outlineLevel="0" collapsed="false">
      <c r="A23" s="9"/>
      <c r="B23" s="25"/>
      <c r="C23" s="9"/>
      <c r="D23" s="11"/>
      <c r="E23" s="11"/>
      <c r="F23" s="11"/>
      <c r="G23" s="11"/>
    </row>
    <row r="24" customFormat="false" ht="12.75" hidden="false" customHeight="false" outlineLevel="0" collapsed="false">
      <c r="A24" s="13"/>
      <c r="B24" s="13"/>
      <c r="C24" s="6"/>
      <c r="D24" s="11"/>
      <c r="E24" s="11"/>
      <c r="F24" s="11"/>
      <c r="G24" s="11"/>
    </row>
    <row r="25" customFormat="false" ht="27.95" hidden="false" customHeight="true" outlineLevel="0" collapsed="false">
      <c r="A25" s="7"/>
      <c r="B25" s="7"/>
      <c r="C25" s="7"/>
      <c r="D25" s="8"/>
      <c r="E25" s="8"/>
      <c r="F25" s="8"/>
      <c r="G25" s="8"/>
    </row>
    <row r="26" customFormat="false" ht="12.8" hidden="false" customHeight="false" outlineLevel="0" collapsed="false">
      <c r="A26" s="9"/>
      <c r="B26" s="24"/>
      <c r="C26" s="6"/>
      <c r="D26" s="8"/>
      <c r="E26" s="8"/>
      <c r="F26" s="8"/>
      <c r="G26" s="8"/>
    </row>
    <row r="27" customFormat="false" ht="12.8" hidden="false" customHeight="false" outlineLevel="0" collapsed="false">
      <c r="A27" s="9"/>
      <c r="B27" s="25"/>
      <c r="C27" s="26"/>
      <c r="D27" s="11"/>
      <c r="E27" s="11"/>
      <c r="F27" s="11"/>
      <c r="G27" s="11"/>
    </row>
    <row r="28" customFormat="false" ht="12.8" hidden="false" customHeight="false" outlineLevel="0" collapsed="false">
      <c r="A28" s="9"/>
      <c r="B28" s="25"/>
      <c r="C28" s="9"/>
      <c r="D28" s="11"/>
      <c r="E28" s="11"/>
      <c r="F28" s="11"/>
      <c r="G28" s="11"/>
    </row>
    <row r="29" customFormat="false" ht="12.8" hidden="false" customHeight="false" outlineLevel="0" collapsed="false">
      <c r="A29" s="9"/>
      <c r="B29" s="25"/>
      <c r="C29" s="9"/>
      <c r="D29" s="11"/>
      <c r="E29" s="11"/>
      <c r="F29" s="11"/>
      <c r="G29" s="11"/>
    </row>
    <row r="30" customFormat="false" ht="12.8" hidden="false" customHeight="false" outlineLevel="0" collapsed="false">
      <c r="A30" s="9"/>
      <c r="B30" s="25"/>
      <c r="C30" s="9"/>
      <c r="D30" s="11"/>
      <c r="E30" s="11"/>
      <c r="F30" s="11"/>
      <c r="G30" s="11"/>
    </row>
    <row r="31" customFormat="false" ht="12.8" hidden="false" customHeight="false" outlineLevel="0" collapsed="false">
      <c r="A31" s="9"/>
      <c r="B31" s="25"/>
      <c r="C31" s="9"/>
      <c r="D31" s="11"/>
      <c r="E31" s="11"/>
      <c r="F31" s="11"/>
      <c r="G31" s="11"/>
    </row>
    <row r="32" customFormat="false" ht="12.8" hidden="false" customHeight="false" outlineLevel="0" collapsed="false">
      <c r="A32" s="9"/>
      <c r="B32" s="25"/>
      <c r="C32" s="9"/>
      <c r="D32" s="11"/>
      <c r="E32" s="11"/>
      <c r="F32" s="11"/>
      <c r="G32" s="11"/>
    </row>
    <row r="33" customFormat="false" ht="12.8" hidden="false" customHeight="false" outlineLevel="0" collapsed="false">
      <c r="A33" s="13"/>
      <c r="B33" s="13"/>
      <c r="C33" s="23"/>
      <c r="D33" s="11"/>
      <c r="E33" s="11"/>
      <c r="F33" s="11"/>
      <c r="G33" s="11"/>
    </row>
    <row r="34" customFormat="false" ht="27.95" hidden="false" customHeight="true" outlineLevel="0" collapsed="false">
      <c r="A34" s="7"/>
      <c r="B34" s="7"/>
      <c r="C34" s="7"/>
      <c r="D34" s="8"/>
      <c r="E34" s="8"/>
      <c r="F34" s="8"/>
      <c r="G34" s="8"/>
    </row>
    <row r="35" customFormat="false" ht="15" hidden="false" customHeight="true" outlineLevel="0" collapsed="false">
      <c r="A35" s="9"/>
      <c r="B35" s="24"/>
      <c r="C35" s="6"/>
      <c r="D35" s="8"/>
      <c r="E35" s="8"/>
      <c r="F35" s="8"/>
      <c r="G35" s="8"/>
    </row>
    <row r="36" customFormat="false" ht="15" hidden="false" customHeight="true" outlineLevel="0" collapsed="false">
      <c r="A36" s="9"/>
      <c r="B36" s="25"/>
      <c r="C36" s="26"/>
      <c r="D36" s="11"/>
      <c r="E36" s="11"/>
      <c r="F36" s="11"/>
      <c r="G36" s="11"/>
    </row>
    <row r="37" customFormat="false" ht="17.25" hidden="false" customHeight="true" outlineLevel="0" collapsed="false">
      <c r="A37" s="9"/>
      <c r="B37" s="25"/>
      <c r="C37" s="9"/>
      <c r="D37" s="11"/>
      <c r="E37" s="11"/>
      <c r="F37" s="11"/>
      <c r="G37" s="11"/>
    </row>
    <row r="38" customFormat="false" ht="15" hidden="false" customHeight="true" outlineLevel="0" collapsed="false">
      <c r="A38" s="9"/>
      <c r="B38" s="25"/>
      <c r="C38" s="9"/>
      <c r="D38" s="11"/>
      <c r="E38" s="11"/>
      <c r="F38" s="11"/>
      <c r="G38" s="11"/>
    </row>
    <row r="39" customFormat="false" ht="15.75" hidden="false" customHeight="true" outlineLevel="0" collapsed="false">
      <c r="A39" s="9"/>
      <c r="B39" s="25"/>
      <c r="C39" s="9"/>
      <c r="D39" s="11"/>
      <c r="E39" s="11"/>
      <c r="F39" s="11"/>
      <c r="G39" s="11"/>
    </row>
    <row r="40" customFormat="false" ht="15" hidden="false" customHeight="true" outlineLevel="0" collapsed="false">
      <c r="A40" s="9"/>
      <c r="B40" s="25"/>
      <c r="C40" s="9"/>
      <c r="D40" s="11"/>
      <c r="E40" s="11"/>
      <c r="F40" s="11"/>
      <c r="G40" s="11"/>
    </row>
    <row r="41" customFormat="false" ht="15" hidden="false" customHeight="true" outlineLevel="0" collapsed="false">
      <c r="A41" s="13"/>
      <c r="B41" s="13"/>
      <c r="C41" s="6"/>
      <c r="D41" s="11"/>
      <c r="E41" s="11"/>
      <c r="F41" s="11"/>
      <c r="G41" s="11"/>
    </row>
    <row r="42" customFormat="false" ht="27.95" hidden="false" customHeight="true" outlineLevel="0" collapsed="false">
      <c r="A42" s="7"/>
      <c r="B42" s="7"/>
      <c r="C42" s="7"/>
      <c r="D42" s="8"/>
      <c r="E42" s="8"/>
      <c r="F42" s="8"/>
      <c r="G42" s="8"/>
    </row>
    <row r="43" customFormat="false" ht="12.75" hidden="false" customHeight="false" outlineLevel="0" collapsed="false">
      <c r="A43" s="9"/>
      <c r="B43" s="24"/>
      <c r="C43" s="6"/>
      <c r="D43" s="8"/>
      <c r="E43" s="8"/>
      <c r="F43" s="8"/>
      <c r="G43" s="8"/>
    </row>
    <row r="44" customFormat="false" ht="18.75" hidden="false" customHeight="true" outlineLevel="0" collapsed="false">
      <c r="A44" s="12"/>
      <c r="B44" s="25"/>
      <c r="C44" s="9"/>
      <c r="D44" s="11"/>
      <c r="E44" s="11"/>
      <c r="F44" s="11"/>
      <c r="G44" s="11"/>
    </row>
    <row r="45" customFormat="false" ht="12.75" hidden="false" customHeight="false" outlineLevel="0" collapsed="false">
      <c r="A45" s="9"/>
      <c r="B45" s="25"/>
      <c r="C45" s="9"/>
      <c r="D45" s="11"/>
      <c r="E45" s="11"/>
      <c r="F45" s="11"/>
      <c r="G45" s="11"/>
    </row>
    <row r="46" customFormat="false" ht="12.75" hidden="false" customHeight="false" outlineLevel="0" collapsed="false">
      <c r="A46" s="9"/>
      <c r="B46" s="25"/>
      <c r="C46" s="9"/>
      <c r="D46" s="11"/>
      <c r="E46" s="11"/>
      <c r="F46" s="11"/>
      <c r="G46" s="11"/>
    </row>
    <row r="47" customFormat="false" ht="12.75" hidden="false" customHeight="false" outlineLevel="0" collapsed="false">
      <c r="A47" s="9"/>
      <c r="B47" s="25"/>
      <c r="C47" s="9"/>
      <c r="D47" s="11"/>
      <c r="E47" s="11"/>
      <c r="F47" s="11"/>
      <c r="G47" s="11"/>
    </row>
    <row r="48" customFormat="false" ht="15" hidden="false" customHeight="true" outlineLevel="0" collapsed="false">
      <c r="A48" s="9"/>
      <c r="B48" s="25"/>
      <c r="C48" s="12"/>
      <c r="D48" s="11"/>
      <c r="E48" s="11"/>
      <c r="F48" s="11"/>
      <c r="G48" s="11"/>
    </row>
    <row r="49" customFormat="false" ht="12.75" hidden="false" customHeight="false" outlineLevel="0" collapsed="false">
      <c r="A49" s="9"/>
      <c r="B49" s="30"/>
      <c r="C49" s="9"/>
      <c r="D49" s="11"/>
      <c r="E49" s="11"/>
      <c r="F49" s="11"/>
      <c r="G49" s="11"/>
    </row>
    <row r="50" customFormat="false" ht="12.75" hidden="false" customHeight="false" outlineLevel="0" collapsed="false">
      <c r="A50" s="13"/>
      <c r="B50" s="13"/>
      <c r="C50" s="18"/>
      <c r="D50" s="11"/>
      <c r="E50" s="11"/>
      <c r="F50" s="11"/>
      <c r="G50" s="11"/>
    </row>
    <row r="51" customFormat="false" ht="27.95" hidden="false" customHeight="true" outlineLevel="0" collapsed="false">
      <c r="A51" s="7"/>
      <c r="B51" s="7"/>
      <c r="C51" s="7"/>
      <c r="D51" s="8"/>
      <c r="E51" s="8"/>
      <c r="F51" s="8"/>
      <c r="G51" s="8"/>
    </row>
    <row r="52" customFormat="false" ht="12.75" hidden="false" customHeight="false" outlineLevel="0" collapsed="false">
      <c r="A52" s="9"/>
      <c r="B52" s="24"/>
      <c r="C52" s="6"/>
      <c r="D52" s="8"/>
      <c r="E52" s="8"/>
      <c r="F52" s="8"/>
      <c r="G52" s="8"/>
    </row>
    <row r="53" customFormat="false" ht="16.5" hidden="false" customHeight="true" outlineLevel="0" collapsed="false">
      <c r="A53" s="9"/>
      <c r="B53" s="25"/>
      <c r="C53" s="26"/>
      <c r="D53" s="11"/>
      <c r="E53" s="11"/>
      <c r="F53" s="11"/>
      <c r="G53" s="11"/>
      <c r="H53" s="2"/>
      <c r="I53" s="1"/>
      <c r="J53" s="1"/>
      <c r="K53" s="1"/>
      <c r="L53" s="1"/>
      <c r="M53" s="1"/>
      <c r="N53" s="14"/>
      <c r="O53" s="14"/>
      <c r="P53" s="14"/>
      <c r="Q53" s="14"/>
      <c r="R53" s="14"/>
      <c r="S53" s="14"/>
      <c r="T53" s="14"/>
    </row>
    <row r="54" customFormat="false" ht="24.75" hidden="false" customHeight="true" outlineLevel="0" collapsed="false">
      <c r="A54" s="9"/>
      <c r="B54" s="25"/>
      <c r="C54" s="9"/>
      <c r="D54" s="11"/>
      <c r="E54" s="11"/>
      <c r="F54" s="11"/>
      <c r="G54" s="11"/>
      <c r="H54" s="31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4"/>
    </row>
    <row r="55" customFormat="false" ht="12.75" hidden="false" customHeight="false" outlineLevel="0" collapsed="false">
      <c r="A55" s="9"/>
      <c r="B55" s="25"/>
      <c r="C55" s="9"/>
      <c r="D55" s="11"/>
      <c r="E55" s="11"/>
      <c r="F55" s="11"/>
      <c r="G55" s="11"/>
    </row>
    <row r="56" customFormat="false" ht="28.5" hidden="false" customHeight="true" outlineLevel="0" collapsed="false">
      <c r="A56" s="9"/>
      <c r="B56" s="25"/>
      <c r="C56" s="9"/>
      <c r="D56" s="11"/>
      <c r="E56" s="11"/>
      <c r="F56" s="11"/>
      <c r="G56" s="11"/>
      <c r="H56" s="1"/>
      <c r="I56" s="1"/>
      <c r="J56" s="1"/>
      <c r="K56" s="1"/>
      <c r="L56" s="1"/>
      <c r="M56" s="16"/>
      <c r="N56" s="1"/>
      <c r="O56" s="1"/>
      <c r="P56" s="1"/>
      <c r="Q56" s="1"/>
      <c r="R56" s="1"/>
    </row>
    <row r="57" customFormat="false" ht="12.75" hidden="false" customHeight="false" outlineLevel="0" collapsed="false">
      <c r="A57" s="9"/>
      <c r="B57" s="25"/>
      <c r="C57" s="9"/>
      <c r="D57" s="11"/>
      <c r="E57" s="11"/>
      <c r="F57" s="11"/>
      <c r="G57" s="11"/>
    </row>
    <row r="58" customFormat="false" ht="12.75" hidden="false" customHeight="false" outlineLevel="0" collapsed="false">
      <c r="A58" s="13"/>
      <c r="B58" s="13"/>
      <c r="C58" s="6"/>
      <c r="D58" s="11"/>
      <c r="E58" s="11"/>
      <c r="F58" s="11"/>
      <c r="G58" s="11"/>
    </row>
    <row r="59" customFormat="false" ht="27.95" hidden="false" customHeight="true" outlineLevel="0" collapsed="false">
      <c r="A59" s="7"/>
      <c r="B59" s="7"/>
      <c r="C59" s="7"/>
      <c r="D59" s="8"/>
      <c r="E59" s="8"/>
      <c r="F59" s="8"/>
      <c r="G59" s="8"/>
    </row>
    <row r="60" customFormat="false" ht="13.5" hidden="false" customHeight="true" outlineLevel="0" collapsed="false">
      <c r="A60" s="9"/>
      <c r="B60" s="24"/>
      <c r="C60" s="23"/>
      <c r="D60" s="8"/>
      <c r="E60" s="8"/>
      <c r="F60" s="8"/>
      <c r="G60" s="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customFormat="false" ht="15" hidden="false" customHeight="true" outlineLevel="0" collapsed="false">
      <c r="A61" s="9"/>
      <c r="B61" s="25"/>
      <c r="C61" s="32"/>
      <c r="D61" s="11"/>
      <c r="E61" s="11"/>
      <c r="F61" s="11"/>
      <c r="G61" s="11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customFormat="false" ht="12.75" hidden="false" customHeight="true" outlineLevel="0" collapsed="false">
      <c r="A62" s="9"/>
      <c r="B62" s="25"/>
      <c r="C62" s="33"/>
      <c r="D62" s="11"/>
      <c r="E62" s="11"/>
      <c r="F62" s="11"/>
      <c r="G62" s="11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customFormat="false" ht="13.5" hidden="false" customHeight="true" outlineLevel="0" collapsed="false">
      <c r="A63" s="9"/>
      <c r="B63" s="25"/>
      <c r="C63" s="33"/>
      <c r="D63" s="11"/>
      <c r="E63" s="11"/>
      <c r="F63" s="11"/>
      <c r="G63" s="11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customFormat="false" ht="14.25" hidden="false" customHeight="true" outlineLevel="0" collapsed="false">
      <c r="A64" s="9"/>
      <c r="B64" s="25"/>
      <c r="C64" s="33"/>
      <c r="D64" s="11"/>
      <c r="E64" s="11"/>
      <c r="F64" s="11"/>
      <c r="G64" s="11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customFormat="false" ht="14.25" hidden="false" customHeight="true" outlineLevel="0" collapsed="false">
      <c r="A65" s="9"/>
      <c r="B65" s="25"/>
      <c r="C65" s="33"/>
      <c r="D65" s="11"/>
      <c r="E65" s="11"/>
      <c r="F65" s="11"/>
      <c r="G65" s="11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customFormat="false" ht="13.5" hidden="false" customHeight="true" outlineLevel="0" collapsed="false">
      <c r="A66" s="12"/>
      <c r="B66" s="30"/>
      <c r="C66" s="33"/>
      <c r="D66" s="11"/>
      <c r="E66" s="11"/>
      <c r="F66" s="11"/>
      <c r="G66" s="11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customFormat="false" ht="12.75" hidden="false" customHeight="false" outlineLevel="0" collapsed="false">
      <c r="A67" s="13"/>
      <c r="B67" s="13"/>
      <c r="C67" s="18"/>
      <c r="D67" s="11"/>
      <c r="E67" s="11"/>
      <c r="F67" s="11"/>
      <c r="G67" s="11"/>
      <c r="H67" s="17"/>
      <c r="I67" s="1"/>
      <c r="J67" s="1"/>
      <c r="K67" s="17"/>
      <c r="L67" s="16"/>
      <c r="M67" s="16"/>
      <c r="N67" s="16"/>
      <c r="O67" s="16"/>
      <c r="P67" s="16"/>
      <c r="Q67" s="16"/>
      <c r="R67" s="16"/>
      <c r="S67" s="16"/>
      <c r="T67" s="16"/>
      <c r="U67" s="1"/>
      <c r="V67" s="16"/>
      <c r="W67" s="16"/>
      <c r="X67" s="17"/>
    </row>
    <row r="68" customFormat="false" ht="27.95" hidden="false" customHeight="true" outlineLevel="0" collapsed="false">
      <c r="A68" s="7"/>
      <c r="B68" s="7"/>
      <c r="C68" s="7"/>
      <c r="D68" s="8"/>
      <c r="E68" s="8"/>
      <c r="F68" s="8"/>
      <c r="G68" s="8"/>
    </row>
    <row r="69" customFormat="false" ht="12.75" hidden="false" customHeight="false" outlineLevel="0" collapsed="false">
      <c r="A69" s="12"/>
      <c r="B69" s="24"/>
      <c r="C69" s="34"/>
      <c r="D69" s="8"/>
      <c r="E69" s="8"/>
      <c r="F69" s="8"/>
      <c r="G69" s="8"/>
    </row>
    <row r="70" customFormat="false" ht="12.75" hidden="false" customHeight="false" outlineLevel="0" collapsed="false">
      <c r="A70" s="9"/>
      <c r="B70" s="25"/>
      <c r="C70" s="33"/>
      <c r="D70" s="27"/>
      <c r="E70" s="11"/>
      <c r="F70" s="11"/>
      <c r="G70" s="11"/>
    </row>
    <row r="71" customFormat="false" ht="12" hidden="false" customHeight="true" outlineLevel="0" collapsed="false">
      <c r="A71" s="9"/>
      <c r="B71" s="25"/>
      <c r="C71" s="33"/>
      <c r="D71" s="11"/>
      <c r="E71" s="11"/>
      <c r="F71" s="11"/>
      <c r="G71" s="11"/>
    </row>
    <row r="72" customFormat="false" ht="12.75" hidden="false" customHeight="false" outlineLevel="0" collapsed="false">
      <c r="A72" s="9"/>
      <c r="B72" s="25"/>
      <c r="C72" s="9"/>
      <c r="D72" s="11"/>
      <c r="E72" s="11"/>
      <c r="F72" s="11"/>
      <c r="G72" s="11"/>
    </row>
    <row r="73" customFormat="false" ht="12.75" hidden="false" customHeight="false" outlineLevel="0" collapsed="false">
      <c r="A73" s="9"/>
      <c r="B73" s="25"/>
      <c r="C73" s="33"/>
      <c r="D73" s="11"/>
      <c r="E73" s="11"/>
      <c r="F73" s="11"/>
      <c r="G73" s="11"/>
    </row>
    <row r="74" customFormat="false" ht="12.75" hidden="false" customHeight="false" outlineLevel="0" collapsed="false">
      <c r="A74" s="9"/>
      <c r="B74" s="25"/>
      <c r="C74" s="33"/>
      <c r="D74" s="11"/>
      <c r="E74" s="11"/>
      <c r="F74" s="11"/>
      <c r="G74" s="11"/>
    </row>
    <row r="75" customFormat="false" ht="12.75" hidden="false" customHeight="false" outlineLevel="0" collapsed="false">
      <c r="A75" s="12"/>
      <c r="B75" s="30"/>
      <c r="C75" s="33"/>
      <c r="D75" s="11"/>
      <c r="E75" s="11"/>
      <c r="F75" s="11"/>
      <c r="G75" s="11"/>
    </row>
    <row r="76" customFormat="false" ht="12.75" hidden="false" customHeight="false" outlineLevel="0" collapsed="false">
      <c r="A76" s="13"/>
      <c r="B76" s="13"/>
      <c r="C76" s="18"/>
      <c r="D76" s="11"/>
      <c r="E76" s="11"/>
      <c r="F76" s="11"/>
      <c r="G76" s="11"/>
    </row>
    <row r="77" customFormat="false" ht="27.95" hidden="false" customHeight="true" outlineLevel="0" collapsed="false">
      <c r="A77" s="7"/>
      <c r="B77" s="7"/>
      <c r="C77" s="7"/>
      <c r="D77" s="8"/>
      <c r="E77" s="8"/>
      <c r="F77" s="8"/>
      <c r="G77" s="8"/>
    </row>
    <row r="78" customFormat="false" ht="13.5" hidden="false" customHeight="true" outlineLevel="0" collapsed="false">
      <c r="A78" s="9"/>
      <c r="B78" s="24"/>
      <c r="C78" s="6"/>
      <c r="D78" s="8"/>
      <c r="E78" s="8"/>
      <c r="F78" s="8"/>
      <c r="G78" s="8"/>
    </row>
    <row r="79" customFormat="false" ht="12.8" hidden="false" customHeight="false" outlineLevel="0" collapsed="false">
      <c r="A79" s="12"/>
      <c r="B79" s="25"/>
      <c r="C79" s="9"/>
      <c r="D79" s="11"/>
      <c r="E79" s="11"/>
      <c r="F79" s="11"/>
      <c r="G79" s="11"/>
    </row>
    <row r="80" customFormat="false" ht="12.8" hidden="false" customHeight="false" outlineLevel="0" collapsed="false">
      <c r="A80" s="9"/>
      <c r="B80" s="25"/>
      <c r="C80" s="9"/>
      <c r="D80" s="11"/>
      <c r="E80" s="11"/>
      <c r="F80" s="11"/>
      <c r="G80" s="11"/>
    </row>
    <row r="81" customFormat="false" ht="12.8" hidden="false" customHeight="false" outlineLevel="0" collapsed="false">
      <c r="A81" s="9"/>
      <c r="B81" s="25"/>
      <c r="C81" s="26"/>
      <c r="D81" s="11"/>
      <c r="E81" s="11"/>
      <c r="F81" s="11"/>
      <c r="G81" s="11"/>
    </row>
    <row r="82" customFormat="false" ht="12.8" hidden="false" customHeight="false" outlineLevel="0" collapsed="false">
      <c r="A82" s="9"/>
      <c r="B82" s="25"/>
      <c r="C82" s="9"/>
      <c r="D82" s="11"/>
      <c r="E82" s="11"/>
      <c r="F82" s="11"/>
      <c r="G82" s="11"/>
    </row>
    <row r="83" customFormat="false" ht="12.8" hidden="false" customHeight="false" outlineLevel="0" collapsed="false">
      <c r="A83" s="9"/>
      <c r="B83" s="25"/>
      <c r="C83" s="9"/>
      <c r="D83" s="11"/>
      <c r="E83" s="11"/>
      <c r="F83" s="11"/>
      <c r="G83" s="11"/>
    </row>
    <row r="84" customFormat="false" ht="12" hidden="false" customHeight="true" outlineLevel="0" collapsed="false">
      <c r="A84" s="12"/>
      <c r="B84" s="30"/>
      <c r="C84" s="9"/>
      <c r="D84" s="11"/>
      <c r="E84" s="11"/>
      <c r="F84" s="11"/>
      <c r="G84" s="11"/>
    </row>
    <row r="85" customFormat="false" ht="12.75" hidden="false" customHeight="false" outlineLevel="0" collapsed="false">
      <c r="A85" s="13"/>
      <c r="B85" s="13"/>
      <c r="C85" s="23"/>
      <c r="D85" s="11"/>
      <c r="E85" s="11"/>
      <c r="F85" s="11"/>
      <c r="G85" s="11"/>
    </row>
    <row r="86" customFormat="false" ht="27.95" hidden="false" customHeight="true" outlineLevel="0" collapsed="false">
      <c r="A86" s="7"/>
      <c r="B86" s="7"/>
      <c r="C86" s="7"/>
      <c r="D86" s="8"/>
      <c r="E86" s="8"/>
      <c r="F86" s="8"/>
      <c r="G86" s="8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22"/>
    </row>
    <row r="87" customFormat="false" ht="12.8" hidden="false" customHeight="false" outlineLevel="0" collapsed="false">
      <c r="A87" s="9"/>
      <c r="B87" s="24"/>
      <c r="C87" s="6"/>
      <c r="D87" s="8"/>
      <c r="E87" s="8"/>
      <c r="F87" s="8"/>
      <c r="G87" s="8"/>
      <c r="H87" s="16"/>
      <c r="I87" s="1"/>
      <c r="J87" s="1"/>
      <c r="K87" s="1"/>
      <c r="L87" s="17"/>
      <c r="M87" s="17"/>
      <c r="N87" s="16"/>
      <c r="O87" s="16"/>
      <c r="P87" s="16"/>
      <c r="Q87" s="16"/>
      <c r="R87" s="16"/>
      <c r="S87" s="16"/>
      <c r="T87" s="16"/>
      <c r="U87" s="17"/>
      <c r="V87" s="16"/>
      <c r="W87" s="16"/>
      <c r="X87" s="17"/>
    </row>
    <row r="88" customFormat="false" ht="12.8" hidden="false" customHeight="false" outlineLevel="0" collapsed="false">
      <c r="A88" s="9"/>
      <c r="B88" s="25"/>
      <c r="C88" s="26"/>
      <c r="D88" s="11"/>
      <c r="E88" s="11"/>
      <c r="F88" s="11"/>
      <c r="G88" s="11"/>
      <c r="H88" s="16"/>
      <c r="I88" s="1"/>
      <c r="J88" s="1"/>
      <c r="K88" s="1"/>
      <c r="L88" s="17"/>
      <c r="M88" s="17"/>
      <c r="N88" s="16"/>
      <c r="O88" s="16"/>
      <c r="P88" s="16"/>
      <c r="Q88" s="16"/>
      <c r="R88" s="16"/>
      <c r="S88" s="16"/>
      <c r="T88" s="16"/>
      <c r="U88" s="17"/>
      <c r="V88" s="16"/>
      <c r="W88" s="16"/>
      <c r="X88" s="17"/>
    </row>
    <row r="89" customFormat="false" ht="12.8" hidden="false" customHeight="false" outlineLevel="0" collapsed="false">
      <c r="A89" s="9"/>
      <c r="B89" s="25"/>
      <c r="C89" s="9"/>
      <c r="D89" s="11"/>
      <c r="E89" s="11"/>
      <c r="F89" s="11"/>
      <c r="G89" s="11"/>
      <c r="H89" s="16"/>
      <c r="I89" s="1"/>
      <c r="J89" s="1"/>
      <c r="K89" s="1"/>
      <c r="L89" s="17"/>
      <c r="M89" s="17"/>
      <c r="N89" s="16"/>
      <c r="O89" s="16"/>
      <c r="P89" s="16"/>
      <c r="Q89" s="16"/>
      <c r="R89" s="16"/>
      <c r="S89" s="16"/>
      <c r="T89" s="16"/>
      <c r="U89" s="17"/>
      <c r="V89" s="16"/>
      <c r="W89" s="16"/>
      <c r="X89" s="17"/>
    </row>
    <row r="90" customFormat="false" ht="12.8" hidden="false" customHeight="false" outlineLevel="0" collapsed="false">
      <c r="A90" s="9"/>
      <c r="B90" s="25"/>
      <c r="C90" s="9"/>
      <c r="D90" s="11"/>
      <c r="E90" s="11"/>
      <c r="F90" s="11"/>
      <c r="G90" s="11"/>
      <c r="H90" s="16"/>
      <c r="I90" s="1"/>
      <c r="J90" s="1"/>
      <c r="K90" s="1"/>
      <c r="L90" s="17"/>
      <c r="M90" s="17"/>
      <c r="N90" s="16"/>
      <c r="O90" s="16"/>
      <c r="P90" s="16"/>
      <c r="Q90" s="16"/>
      <c r="R90" s="16"/>
      <c r="S90" s="16"/>
      <c r="T90" s="16"/>
      <c r="U90" s="17"/>
      <c r="V90" s="16"/>
      <c r="W90" s="16"/>
      <c r="X90" s="17"/>
    </row>
    <row r="91" customFormat="false" ht="12.8" hidden="false" customHeight="false" outlineLevel="0" collapsed="false">
      <c r="A91" s="9"/>
      <c r="B91" s="25"/>
      <c r="C91" s="9"/>
      <c r="D91" s="11"/>
      <c r="E91" s="11"/>
      <c r="F91" s="11"/>
      <c r="G91" s="11"/>
      <c r="H91" s="16"/>
      <c r="I91" s="1"/>
      <c r="J91" s="1"/>
      <c r="K91" s="1"/>
      <c r="L91" s="17"/>
      <c r="M91" s="17"/>
      <c r="N91" s="16"/>
      <c r="O91" s="16"/>
      <c r="P91" s="16"/>
      <c r="Q91" s="16"/>
      <c r="R91" s="16"/>
      <c r="S91" s="16"/>
      <c r="T91" s="16"/>
      <c r="U91" s="17"/>
      <c r="V91" s="16"/>
      <c r="W91" s="16"/>
      <c r="X91" s="17"/>
    </row>
    <row r="92" customFormat="false" ht="12.8" hidden="false" customHeight="false" outlineLevel="0" collapsed="false">
      <c r="A92" s="9"/>
      <c r="B92" s="25"/>
      <c r="C92" s="9"/>
      <c r="D92" s="11"/>
      <c r="E92" s="11"/>
      <c r="F92" s="11"/>
      <c r="G92" s="11"/>
      <c r="H92" s="16"/>
      <c r="I92" s="1"/>
      <c r="J92" s="1"/>
      <c r="K92" s="1"/>
      <c r="L92" s="17"/>
      <c r="M92" s="17"/>
      <c r="N92" s="16"/>
      <c r="O92" s="16"/>
      <c r="P92" s="16"/>
      <c r="Q92" s="16"/>
      <c r="R92" s="16"/>
      <c r="S92" s="16"/>
      <c r="T92" s="16"/>
      <c r="U92" s="17"/>
      <c r="V92" s="16"/>
      <c r="W92" s="16"/>
      <c r="X92" s="17"/>
    </row>
    <row r="93" customFormat="false" ht="12.8" hidden="false" customHeight="false" outlineLevel="0" collapsed="false">
      <c r="A93" s="12"/>
      <c r="B93" s="30"/>
      <c r="C93" s="33"/>
      <c r="D93" s="11"/>
      <c r="E93" s="11"/>
      <c r="F93" s="11"/>
      <c r="G93" s="11"/>
      <c r="H93" s="16"/>
      <c r="I93" s="1"/>
      <c r="J93" s="1"/>
      <c r="K93" s="1"/>
      <c r="L93" s="17"/>
      <c r="M93" s="17"/>
      <c r="N93" s="16"/>
      <c r="O93" s="16"/>
      <c r="P93" s="16"/>
      <c r="Q93" s="16"/>
      <c r="R93" s="16"/>
      <c r="S93" s="16"/>
      <c r="T93" s="16"/>
      <c r="U93" s="17"/>
      <c r="V93" s="16"/>
      <c r="W93" s="16"/>
      <c r="X93" s="17"/>
    </row>
    <row r="94" customFormat="false" ht="12.8" hidden="false" customHeight="false" outlineLevel="0" collapsed="false">
      <c r="A94" s="13"/>
      <c r="B94" s="13"/>
      <c r="C94" s="6"/>
      <c r="D94" s="9"/>
      <c r="E94" s="9"/>
      <c r="F94" s="9"/>
      <c r="G94" s="9"/>
      <c r="H94" s="16"/>
      <c r="I94" s="1"/>
      <c r="J94" s="1"/>
      <c r="K94" s="1"/>
      <c r="L94" s="17"/>
      <c r="M94" s="17"/>
      <c r="N94" s="16"/>
      <c r="O94" s="16"/>
      <c r="P94" s="16"/>
      <c r="Q94" s="16"/>
      <c r="R94" s="16"/>
      <c r="S94" s="16"/>
      <c r="T94" s="16"/>
      <c r="U94" s="17"/>
      <c r="V94" s="16"/>
      <c r="W94" s="16"/>
      <c r="X94" s="17"/>
    </row>
  </sheetData>
  <mergeCells count="27">
    <mergeCell ref="A1:G2"/>
    <mergeCell ref="A3:G4"/>
    <mergeCell ref="A5:A6"/>
    <mergeCell ref="B5:B6"/>
    <mergeCell ref="C5:C6"/>
    <mergeCell ref="D5:F5"/>
    <mergeCell ref="G5:G6"/>
    <mergeCell ref="A8:C8"/>
    <mergeCell ref="A15:B15"/>
    <mergeCell ref="A16:C16"/>
    <mergeCell ref="A24:B24"/>
    <mergeCell ref="A25:C25"/>
    <mergeCell ref="A33:B33"/>
    <mergeCell ref="A34:C34"/>
    <mergeCell ref="A41:B41"/>
    <mergeCell ref="A42:C42"/>
    <mergeCell ref="A50:B50"/>
    <mergeCell ref="A51:C51"/>
    <mergeCell ref="A58:B58"/>
    <mergeCell ref="A59:C59"/>
    <mergeCell ref="A67:B67"/>
    <mergeCell ref="A68:C68"/>
    <mergeCell ref="A76:B76"/>
    <mergeCell ref="A77:C77"/>
    <mergeCell ref="A85:B85"/>
    <mergeCell ref="A86:C86"/>
    <mergeCell ref="A94:B94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1:AA84"/>
  <sheetViews>
    <sheetView showFormulas="false" showGridLines="true" showRowColHeaders="true" showZeros="true" rightToLeft="false" tabSelected="false" showOutlineSymbols="true" defaultGridColor="true" view="normal" topLeftCell="A7" colorId="64" zoomScale="112" zoomScaleNormal="112" zoomScalePageLayoutView="100" workbookViewId="0">
      <selection pane="topLeft" activeCell="B72" activeCellId="0" sqref="B72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2" width="36.14"/>
    <col collapsed="false" customWidth="true" hidden="false" outlineLevel="0" max="3" min="3" style="1" width="10.14"/>
    <col collapsed="false" customWidth="true" hidden="false" outlineLevel="0" max="4" min="4" style="1" width="7.29"/>
    <col collapsed="false" customWidth="true" hidden="false" outlineLevel="0" max="5" min="5" style="1" width="7.71"/>
    <col collapsed="false" customWidth="true" hidden="false" outlineLevel="0" max="6" min="6" style="1" width="7.42"/>
    <col collapsed="false" customWidth="true" hidden="false" outlineLevel="0" max="7" min="7" style="1" width="11.57"/>
    <col collapsed="false" customWidth="false" hidden="false" outlineLevel="0" max="1024" min="8" style="3" width="9.14"/>
  </cols>
  <sheetData>
    <row r="1" customFormat="false" ht="12.75" hidden="false" customHeight="true" outlineLevel="0" collapsed="false">
      <c r="A1" s="4" t="s">
        <v>76</v>
      </c>
      <c r="B1" s="4"/>
      <c r="C1" s="4"/>
      <c r="D1" s="4"/>
      <c r="E1" s="4"/>
      <c r="F1" s="4"/>
      <c r="G1" s="4"/>
    </row>
    <row r="2" customFormat="false" ht="12.75" hidden="false" customHeight="false" outlineLevel="0" collapsed="false">
      <c r="A2" s="4"/>
      <c r="B2" s="4"/>
      <c r="C2" s="4"/>
      <c r="D2" s="4"/>
      <c r="E2" s="4"/>
      <c r="F2" s="4"/>
      <c r="G2" s="4"/>
    </row>
    <row r="3" customFormat="false" ht="18.75" hidden="false" customHeight="true" outlineLevel="0" collapsed="false">
      <c r="A3" s="5" t="s">
        <v>77</v>
      </c>
      <c r="B3" s="5"/>
      <c r="C3" s="5"/>
      <c r="D3" s="5"/>
      <c r="E3" s="5"/>
      <c r="F3" s="5"/>
      <c r="G3" s="5"/>
    </row>
    <row r="4" customFormat="false" ht="154.5" hidden="false" customHeight="true" outlineLevel="0" collapsed="false">
      <c r="A4" s="5"/>
      <c r="B4" s="5"/>
      <c r="C4" s="5"/>
      <c r="D4" s="5"/>
      <c r="E4" s="5"/>
      <c r="F4" s="5"/>
      <c r="G4" s="5"/>
    </row>
    <row r="5" customFormat="false" ht="33.75" hidden="false" customHeight="true" outlineLevel="0" collapsed="false">
      <c r="A5" s="6" t="s">
        <v>2</v>
      </c>
      <c r="B5" s="6" t="s">
        <v>3</v>
      </c>
      <c r="C5" s="6" t="s">
        <v>4</v>
      </c>
      <c r="D5" s="6" t="s">
        <v>5</v>
      </c>
      <c r="E5" s="6"/>
      <c r="F5" s="6"/>
      <c r="G5" s="6" t="s">
        <v>6</v>
      </c>
    </row>
    <row r="6" customFormat="false" ht="29.25" hidden="false" customHeight="true" outlineLevel="0" collapsed="false">
      <c r="A6" s="6"/>
      <c r="B6" s="6"/>
      <c r="C6" s="6"/>
      <c r="D6" s="6" t="s">
        <v>7</v>
      </c>
      <c r="E6" s="6" t="s">
        <v>8</v>
      </c>
      <c r="F6" s="6" t="s">
        <v>9</v>
      </c>
      <c r="G6" s="6"/>
    </row>
    <row r="7" customFormat="false" ht="12.75" hidden="false" customHeight="false" outlineLevel="0" collapsed="false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</row>
    <row r="8" customFormat="false" ht="27.95" hidden="false" customHeight="true" outlineLevel="0" collapsed="false">
      <c r="A8" s="7" t="s">
        <v>17</v>
      </c>
      <c r="B8" s="7"/>
      <c r="C8" s="7"/>
      <c r="D8" s="8" t="n">
        <f aca="false">D9</f>
        <v>18.1125</v>
      </c>
      <c r="E8" s="8" t="n">
        <f aca="false">E9</f>
        <v>22.4825</v>
      </c>
      <c r="F8" s="8" t="n">
        <f aca="false">F9</f>
        <v>106.6675</v>
      </c>
      <c r="G8" s="8" t="n">
        <f aca="false">G9</f>
        <v>726.65</v>
      </c>
    </row>
    <row r="9" customFormat="false" ht="12.75" hidden="false" customHeight="false" outlineLevel="0" collapsed="false">
      <c r="A9" s="6"/>
      <c r="B9" s="7" t="s">
        <v>18</v>
      </c>
      <c r="C9" s="6"/>
      <c r="D9" s="8" t="n">
        <f aca="false">D10+D11+D12+D13+D14+D15</f>
        <v>18.1125</v>
      </c>
      <c r="E9" s="8" t="n">
        <f aca="false">E10+E11+E12+E13+E14+E15</f>
        <v>22.4825</v>
      </c>
      <c r="F9" s="8" t="n">
        <f aca="false">F10+F11+F12+F13+F14+F15</f>
        <v>106.6675</v>
      </c>
      <c r="G9" s="8" t="n">
        <f aca="false">G10+G11+G12+G13+G14+G15</f>
        <v>726.65</v>
      </c>
    </row>
    <row r="10" customFormat="false" ht="12.75" hidden="false" customHeight="false" outlineLevel="0" collapsed="false">
      <c r="A10" s="9" t="s">
        <v>19</v>
      </c>
      <c r="B10" s="10" t="s">
        <v>20</v>
      </c>
      <c r="C10" s="9" t="n">
        <v>10</v>
      </c>
      <c r="D10" s="11" t="n">
        <v>2.6</v>
      </c>
      <c r="E10" s="11" t="n">
        <v>2.65</v>
      </c>
      <c r="F10" s="11" t="n">
        <v>0.35</v>
      </c>
      <c r="G10" s="11" t="n">
        <v>36.24</v>
      </c>
    </row>
    <row r="11" customFormat="false" ht="12.75" hidden="false" customHeight="false" outlineLevel="0" collapsed="false">
      <c r="A11" s="9" t="s">
        <v>21</v>
      </c>
      <c r="B11" s="10" t="s">
        <v>22</v>
      </c>
      <c r="C11" s="9" t="n">
        <v>5</v>
      </c>
      <c r="D11" s="11" t="n">
        <v>0.05</v>
      </c>
      <c r="E11" s="11" t="n">
        <v>3.63</v>
      </c>
      <c r="F11" s="11" t="n">
        <v>0.07</v>
      </c>
      <c r="G11" s="11" t="n">
        <v>33.11</v>
      </c>
    </row>
    <row r="12" customFormat="false" ht="25.5" hidden="false" customHeight="false" outlineLevel="0" collapsed="false">
      <c r="A12" s="9" t="s">
        <v>23</v>
      </c>
      <c r="B12" s="10" t="s">
        <v>24</v>
      </c>
      <c r="C12" s="9" t="n">
        <v>255</v>
      </c>
      <c r="D12" s="11" t="n">
        <f aca="false">6.81*1.25</f>
        <v>8.5125</v>
      </c>
      <c r="E12" s="11" t="n">
        <f aca="false">10.45*1.25</f>
        <v>13.0625</v>
      </c>
      <c r="F12" s="11" t="n">
        <f aca="false">29.51*1.25</f>
        <v>36.8875</v>
      </c>
      <c r="G12" s="11" t="n">
        <f aca="false">246.6*1.25</f>
        <v>308.25</v>
      </c>
    </row>
    <row r="13" customFormat="false" ht="12.75" hidden="false" customHeight="false" outlineLevel="0" collapsed="false">
      <c r="A13" s="9"/>
      <c r="B13" s="10" t="s">
        <v>25</v>
      </c>
      <c r="C13" s="9" t="n">
        <v>40</v>
      </c>
      <c r="D13" s="11" t="n">
        <v>1.92</v>
      </c>
      <c r="E13" s="11" t="n">
        <v>1.12</v>
      </c>
      <c r="F13" s="11" t="n">
        <v>31.08</v>
      </c>
      <c r="G13" s="11" t="n">
        <v>148.68</v>
      </c>
    </row>
    <row r="14" customFormat="false" ht="12.75" hidden="false" customHeight="false" outlineLevel="0" collapsed="false">
      <c r="A14" s="9" t="s">
        <v>26</v>
      </c>
      <c r="B14" s="10" t="s">
        <v>27</v>
      </c>
      <c r="C14" s="9" t="n">
        <v>200</v>
      </c>
      <c r="D14" s="11" t="n">
        <v>1.99</v>
      </c>
      <c r="E14" s="11" t="n">
        <v>1.7</v>
      </c>
      <c r="F14" s="11" t="n">
        <v>18.6</v>
      </c>
      <c r="G14" s="11" t="n">
        <v>102.03</v>
      </c>
    </row>
    <row r="15" customFormat="false" ht="12.75" hidden="false" customHeight="false" outlineLevel="0" collapsed="false">
      <c r="A15" s="9"/>
      <c r="B15" s="10" t="s">
        <v>28</v>
      </c>
      <c r="C15" s="9" t="n">
        <v>40</v>
      </c>
      <c r="D15" s="11" t="n">
        <v>3.04</v>
      </c>
      <c r="E15" s="11" t="n">
        <v>0.32</v>
      </c>
      <c r="F15" s="11" t="n">
        <v>19.68</v>
      </c>
      <c r="G15" s="11" t="n">
        <v>98.34</v>
      </c>
    </row>
    <row r="16" customFormat="false" ht="12.75" hidden="true" customHeight="false" outlineLevel="0" collapsed="false">
      <c r="A16" s="12"/>
      <c r="B16" s="10"/>
      <c r="C16" s="12"/>
      <c r="D16" s="11"/>
      <c r="E16" s="11"/>
      <c r="F16" s="11"/>
      <c r="G16" s="11"/>
    </row>
    <row r="17" customFormat="false" ht="12.75" hidden="true" customHeight="false" outlineLevel="0" collapsed="false">
      <c r="A17" s="9"/>
      <c r="B17" s="10"/>
      <c r="C17" s="9"/>
      <c r="D17" s="11"/>
      <c r="E17" s="11"/>
      <c r="F17" s="11"/>
      <c r="G17" s="11"/>
    </row>
    <row r="18" customFormat="false" ht="12.75" hidden="false" customHeight="true" outlineLevel="0" collapsed="false">
      <c r="A18" s="13" t="s">
        <v>29</v>
      </c>
      <c r="B18" s="13"/>
      <c r="C18" s="6" t="n">
        <f aca="false">SUM(C10:C17)</f>
        <v>550</v>
      </c>
      <c r="D18" s="11"/>
      <c r="E18" s="11"/>
      <c r="F18" s="11"/>
      <c r="G18" s="11"/>
    </row>
    <row r="19" customFormat="false" ht="27.95" hidden="false" customHeight="true" outlineLevel="0" collapsed="false">
      <c r="A19" s="7" t="s">
        <v>30</v>
      </c>
      <c r="B19" s="7"/>
      <c r="C19" s="7"/>
      <c r="D19" s="8" t="n">
        <f aca="false">D20</f>
        <v>13.6958</v>
      </c>
      <c r="E19" s="8" t="n">
        <f aca="false">E20</f>
        <v>19.484</v>
      </c>
      <c r="F19" s="8" t="n">
        <f aca="false">F20</f>
        <v>78.2967</v>
      </c>
      <c r="G19" s="8" t="n">
        <f aca="false">G20</f>
        <v>561.83</v>
      </c>
    </row>
    <row r="20" customFormat="false" ht="12.75" hidden="false" customHeight="false" outlineLevel="0" collapsed="false">
      <c r="A20" s="6"/>
      <c r="B20" s="7" t="s">
        <v>18</v>
      </c>
      <c r="C20" s="6"/>
      <c r="D20" s="8" t="n">
        <f aca="false">D21+D22+D23+D24</f>
        <v>13.6958</v>
      </c>
      <c r="E20" s="8" t="n">
        <f aca="false">E21+E22+E23+E24</f>
        <v>19.484</v>
      </c>
      <c r="F20" s="8" t="n">
        <f aca="false">F21+F22+F23+F24</f>
        <v>78.2967</v>
      </c>
      <c r="G20" s="8" t="n">
        <f aca="false">G21+G22+G23+G24</f>
        <v>561.83</v>
      </c>
    </row>
    <row r="21" customFormat="false" ht="12.75" hidden="false" customHeight="false" outlineLevel="0" collapsed="false">
      <c r="A21" s="9" t="s">
        <v>31</v>
      </c>
      <c r="B21" s="10" t="s">
        <v>78</v>
      </c>
      <c r="C21" s="9" t="n">
        <v>115</v>
      </c>
      <c r="D21" s="11" t="n">
        <v>6.32</v>
      </c>
      <c r="E21" s="11" t="n">
        <v>8.79</v>
      </c>
      <c r="F21" s="11" t="n">
        <v>19.37</v>
      </c>
      <c r="G21" s="11" t="n">
        <v>187.01</v>
      </c>
    </row>
    <row r="22" customFormat="false" ht="12.75" hidden="false" customHeight="false" outlineLevel="0" collapsed="false">
      <c r="A22" s="9" t="s">
        <v>33</v>
      </c>
      <c r="B22" s="10" t="s">
        <v>34</v>
      </c>
      <c r="C22" s="9" t="n">
        <v>200</v>
      </c>
      <c r="D22" s="11" t="n">
        <f aca="false">3.26*1.33</f>
        <v>4.3358</v>
      </c>
      <c r="E22" s="11" t="n">
        <f aca="false">7.8*1.33</f>
        <v>10.374</v>
      </c>
      <c r="F22" s="11" t="n">
        <f aca="false">21.99*1.33</f>
        <v>29.2467</v>
      </c>
      <c r="G22" s="11" t="n">
        <v>234.48</v>
      </c>
    </row>
    <row r="23" customFormat="false" ht="12.75" hidden="false" customHeight="false" outlineLevel="0" collapsed="false">
      <c r="A23" s="9" t="s">
        <v>35</v>
      </c>
      <c r="B23" s="10" t="s">
        <v>36</v>
      </c>
      <c r="C23" s="9" t="n">
        <v>200</v>
      </c>
      <c r="D23" s="11" t="n">
        <v>0</v>
      </c>
      <c r="E23" s="11" t="n">
        <v>0</v>
      </c>
      <c r="F23" s="11" t="n">
        <v>10</v>
      </c>
      <c r="G23" s="11" t="n">
        <v>42</v>
      </c>
    </row>
    <row r="24" customFormat="false" ht="12.75" hidden="false" customHeight="false" outlineLevel="0" collapsed="false">
      <c r="A24" s="9"/>
      <c r="B24" s="10" t="s">
        <v>28</v>
      </c>
      <c r="C24" s="9" t="n">
        <v>40</v>
      </c>
      <c r="D24" s="11" t="n">
        <v>3.04</v>
      </c>
      <c r="E24" s="11" t="n">
        <v>0.32</v>
      </c>
      <c r="F24" s="11" t="n">
        <v>19.68</v>
      </c>
      <c r="G24" s="11" t="n">
        <v>98.34</v>
      </c>
    </row>
    <row r="25" customFormat="false" ht="12.75" hidden="false" customHeight="true" outlineLevel="0" collapsed="false">
      <c r="A25" s="13" t="s">
        <v>29</v>
      </c>
      <c r="B25" s="13"/>
      <c r="C25" s="6" t="n">
        <f aca="false">SUM(C21:C24)</f>
        <v>555</v>
      </c>
      <c r="D25" s="11"/>
      <c r="E25" s="11"/>
      <c r="F25" s="11"/>
      <c r="G25" s="11"/>
    </row>
    <row r="26" customFormat="false" ht="27.95" hidden="false" customHeight="true" outlineLevel="0" collapsed="false">
      <c r="A26" s="7" t="s">
        <v>37</v>
      </c>
      <c r="B26" s="7"/>
      <c r="C26" s="7"/>
      <c r="D26" s="8" t="n">
        <f aca="false">D27</f>
        <v>20.393</v>
      </c>
      <c r="E26" s="8" t="n">
        <f aca="false">E27</f>
        <v>6.54</v>
      </c>
      <c r="F26" s="8" t="n">
        <f aca="false">F27</f>
        <v>96.96276</v>
      </c>
      <c r="G26" s="8" t="n">
        <f aca="false">G27</f>
        <v>551.205</v>
      </c>
    </row>
    <row r="27" customFormat="false" ht="12.75" hidden="false" customHeight="false" outlineLevel="0" collapsed="false">
      <c r="A27" s="6"/>
      <c r="B27" s="7" t="s">
        <v>18</v>
      </c>
      <c r="C27" s="6"/>
      <c r="D27" s="8" t="n">
        <f aca="false">D28+D29+D30+D31</f>
        <v>20.393</v>
      </c>
      <c r="E27" s="8" t="n">
        <f aca="false">E28+E29+E30+E31</f>
        <v>6.54</v>
      </c>
      <c r="F27" s="8" t="n">
        <f aca="false">F28+F29+F30+F31</f>
        <v>96.96276</v>
      </c>
      <c r="G27" s="8" t="n">
        <f aca="false">G28+G29+G30+G31</f>
        <v>551.205</v>
      </c>
    </row>
    <row r="28" customFormat="false" ht="15" hidden="false" customHeight="true" outlineLevel="0" collapsed="false">
      <c r="A28" s="9" t="s">
        <v>38</v>
      </c>
      <c r="B28" s="10" t="s">
        <v>39</v>
      </c>
      <c r="C28" s="9" t="n">
        <v>100</v>
      </c>
      <c r="D28" s="11" t="n">
        <f aca="false">0.9*1.67</f>
        <v>1.503</v>
      </c>
      <c r="E28" s="11" t="n">
        <v>0.06</v>
      </c>
      <c r="F28" s="11" t="n">
        <f aca="false">8.28*1.667</f>
        <v>13.80276</v>
      </c>
      <c r="G28" s="11" t="n">
        <v>64.28</v>
      </c>
    </row>
    <row r="29" customFormat="false" ht="12.75" hidden="false" customHeight="false" outlineLevel="0" collapsed="false">
      <c r="A29" s="9" t="s">
        <v>40</v>
      </c>
      <c r="B29" s="10" t="s">
        <v>41</v>
      </c>
      <c r="C29" s="9" t="n">
        <v>200</v>
      </c>
      <c r="D29" s="11" t="n">
        <v>14.09</v>
      </c>
      <c r="E29" s="11" t="n">
        <v>5.98</v>
      </c>
      <c r="F29" s="11" t="n">
        <v>27.56</v>
      </c>
      <c r="G29" s="11" t="n">
        <v>229</v>
      </c>
    </row>
    <row r="30" customFormat="false" ht="21.75" hidden="false" customHeight="true" outlineLevel="0" collapsed="false">
      <c r="A30" s="9" t="s">
        <v>42</v>
      </c>
      <c r="B30" s="10" t="s">
        <v>43</v>
      </c>
      <c r="C30" s="9" t="n">
        <v>200</v>
      </c>
      <c r="D30" s="11" t="n">
        <v>1</v>
      </c>
      <c r="E30" s="11" t="n">
        <v>0.1</v>
      </c>
      <c r="F30" s="11" t="n">
        <v>31</v>
      </c>
      <c r="G30" s="11" t="n">
        <v>135</v>
      </c>
    </row>
    <row r="31" customFormat="false" ht="15" hidden="false" customHeight="true" outlineLevel="0" collapsed="false">
      <c r="A31" s="9"/>
      <c r="B31" s="10" t="s">
        <v>28</v>
      </c>
      <c r="C31" s="9" t="n">
        <v>50</v>
      </c>
      <c r="D31" s="11" t="n">
        <f aca="false">3.04*1.25</f>
        <v>3.8</v>
      </c>
      <c r="E31" s="11" t="n">
        <f aca="false">0.32*1.25</f>
        <v>0.4</v>
      </c>
      <c r="F31" s="11" t="n">
        <f aca="false">19.68*1.25</f>
        <v>24.6</v>
      </c>
      <c r="G31" s="11" t="n">
        <f aca="false">98.34*1.25</f>
        <v>122.925</v>
      </c>
    </row>
    <row r="32" customFormat="false" ht="12.75" hidden="false" customHeight="true" outlineLevel="0" collapsed="false">
      <c r="A32" s="13" t="s">
        <v>29</v>
      </c>
      <c r="B32" s="13"/>
      <c r="C32" s="6" t="n">
        <f aca="false">SUM(C28:C31)</f>
        <v>550</v>
      </c>
      <c r="D32" s="11"/>
      <c r="E32" s="11"/>
      <c r="F32" s="11"/>
      <c r="G32" s="11"/>
    </row>
    <row r="33" customFormat="false" ht="27.95" hidden="false" customHeight="true" outlineLevel="0" collapsed="false">
      <c r="A33" s="7" t="s">
        <v>44</v>
      </c>
      <c r="B33" s="7"/>
      <c r="C33" s="7"/>
      <c r="D33" s="8" t="n">
        <f aca="false">D34</f>
        <v>21.93</v>
      </c>
      <c r="E33" s="8" t="n">
        <f aca="false">E34</f>
        <v>17.56</v>
      </c>
      <c r="F33" s="8" t="n">
        <f aca="false">F34</f>
        <v>87.3</v>
      </c>
      <c r="G33" s="8" t="n">
        <f aca="false">G34</f>
        <v>616.855</v>
      </c>
    </row>
    <row r="34" customFormat="false" ht="12.75" hidden="false" customHeight="false" outlineLevel="0" collapsed="false">
      <c r="A34" s="6"/>
      <c r="B34" s="7" t="s">
        <v>18</v>
      </c>
      <c r="C34" s="6"/>
      <c r="D34" s="8" t="n">
        <f aca="false">D35+D36+D37+D38</f>
        <v>21.93</v>
      </c>
      <c r="E34" s="8" t="n">
        <f aca="false">E35+E36+E37+E38</f>
        <v>17.56</v>
      </c>
      <c r="F34" s="8" t="n">
        <f aca="false">F35+F36+F37+F38</f>
        <v>87.3</v>
      </c>
      <c r="G34" s="8" t="n">
        <f aca="false">G35+G36+G37+G38</f>
        <v>616.855</v>
      </c>
    </row>
    <row r="35" customFormat="false" ht="12.75" hidden="false" customHeight="false" outlineLevel="0" collapsed="false">
      <c r="A35" s="9"/>
      <c r="B35" s="10" t="s">
        <v>45</v>
      </c>
      <c r="C35" s="9" t="n">
        <v>100</v>
      </c>
      <c r="D35" s="11" t="n">
        <v>0.4</v>
      </c>
      <c r="E35" s="11" t="n">
        <v>0</v>
      </c>
      <c r="F35" s="11" t="n">
        <v>9.8</v>
      </c>
      <c r="G35" s="11" t="n">
        <v>42.84</v>
      </c>
    </row>
    <row r="36" customFormat="false" ht="12.75" hidden="false" customHeight="false" outlineLevel="0" collapsed="false">
      <c r="A36" s="9" t="s">
        <v>46</v>
      </c>
      <c r="B36" s="10" t="s">
        <v>47</v>
      </c>
      <c r="C36" s="9" t="n">
        <v>200</v>
      </c>
      <c r="D36" s="11" t="n">
        <v>17.73</v>
      </c>
      <c r="E36" s="11" t="n">
        <v>17.16</v>
      </c>
      <c r="F36" s="11" t="n">
        <v>42.9</v>
      </c>
      <c r="G36" s="11" t="n">
        <v>409.09</v>
      </c>
    </row>
    <row r="37" customFormat="false" ht="12.75" hidden="false" customHeight="false" outlineLevel="0" collapsed="false">
      <c r="A37" s="9" t="s">
        <v>35</v>
      </c>
      <c r="B37" s="10" t="s">
        <v>36</v>
      </c>
      <c r="C37" s="9" t="n">
        <v>200</v>
      </c>
      <c r="D37" s="11" t="n">
        <v>0</v>
      </c>
      <c r="E37" s="11" t="n">
        <v>0</v>
      </c>
      <c r="F37" s="11" t="n">
        <v>10</v>
      </c>
      <c r="G37" s="11" t="n">
        <v>42</v>
      </c>
    </row>
    <row r="38" customFormat="false" ht="15" hidden="false" customHeight="true" outlineLevel="0" collapsed="false">
      <c r="A38" s="9"/>
      <c r="B38" s="10" t="s">
        <v>28</v>
      </c>
      <c r="C38" s="9" t="n">
        <v>50</v>
      </c>
      <c r="D38" s="11" t="n">
        <f aca="false">3.04*1.25</f>
        <v>3.8</v>
      </c>
      <c r="E38" s="11" t="n">
        <f aca="false">0.32*1.25</f>
        <v>0.4</v>
      </c>
      <c r="F38" s="11" t="n">
        <f aca="false">19.68*1.25</f>
        <v>24.6</v>
      </c>
      <c r="G38" s="11" t="n">
        <f aca="false">98.34*1.25</f>
        <v>122.925</v>
      </c>
    </row>
    <row r="39" customFormat="false" ht="15" hidden="false" customHeight="true" outlineLevel="0" collapsed="false">
      <c r="A39" s="13" t="s">
        <v>29</v>
      </c>
      <c r="B39" s="13"/>
      <c r="C39" s="6" t="n">
        <f aca="false">SUM(C35:C38)</f>
        <v>550</v>
      </c>
      <c r="D39" s="11"/>
      <c r="E39" s="11"/>
      <c r="F39" s="11"/>
      <c r="G39" s="11"/>
    </row>
    <row r="40" customFormat="false" ht="27.95" hidden="false" customHeight="true" outlineLevel="0" collapsed="false">
      <c r="A40" s="7" t="s">
        <v>48</v>
      </c>
      <c r="B40" s="7"/>
      <c r="C40" s="7"/>
      <c r="D40" s="8" t="n">
        <f aca="false">D41</f>
        <v>17.0612</v>
      </c>
      <c r="E40" s="8" t="n">
        <f aca="false">E41</f>
        <v>16.0472</v>
      </c>
      <c r="F40" s="8" t="n">
        <f aca="false">F41</f>
        <v>90.94</v>
      </c>
      <c r="G40" s="8" t="n">
        <f aca="false">G41</f>
        <v>598.762</v>
      </c>
    </row>
    <row r="41" customFormat="false" ht="12.75" hidden="false" customHeight="false" outlineLevel="0" collapsed="false">
      <c r="A41" s="6"/>
      <c r="B41" s="7" t="s">
        <v>18</v>
      </c>
      <c r="C41" s="6"/>
      <c r="D41" s="8" t="n">
        <f aca="false">D42+D43+D44+D45</f>
        <v>17.0612</v>
      </c>
      <c r="E41" s="8" t="n">
        <f aca="false">E42+E43+E44+E45</f>
        <v>16.0472</v>
      </c>
      <c r="F41" s="8" t="n">
        <f aca="false">F42+F43+F44+F45</f>
        <v>90.94</v>
      </c>
      <c r="G41" s="8" t="n">
        <f aca="false">G42+G43+G44+G45</f>
        <v>598.762</v>
      </c>
    </row>
    <row r="42" customFormat="false" ht="12.75" hidden="false" customHeight="false" outlineLevel="0" collapsed="false">
      <c r="A42" s="9" t="s">
        <v>49</v>
      </c>
      <c r="B42" s="10" t="s">
        <v>50</v>
      </c>
      <c r="C42" s="9" t="n">
        <v>105</v>
      </c>
      <c r="D42" s="11" t="n">
        <v>6.14</v>
      </c>
      <c r="E42" s="11" t="n">
        <v>11.91</v>
      </c>
      <c r="F42" s="11" t="n">
        <v>10.92</v>
      </c>
      <c r="G42" s="11" t="n">
        <v>178.84</v>
      </c>
    </row>
    <row r="43" customFormat="false" ht="12.75" hidden="false" customHeight="false" outlineLevel="0" collapsed="false">
      <c r="A43" s="9" t="s">
        <v>51</v>
      </c>
      <c r="B43" s="10" t="s">
        <v>52</v>
      </c>
      <c r="C43" s="9" t="n">
        <v>200</v>
      </c>
      <c r="D43" s="11" t="n">
        <f aca="false">5.64*1.33</f>
        <v>7.5012</v>
      </c>
      <c r="E43" s="11" t="n">
        <f aca="false">2.84*1.33</f>
        <v>3.7772</v>
      </c>
      <c r="F43" s="11" t="n">
        <f aca="false">36*1.33</f>
        <v>47.88</v>
      </c>
      <c r="G43" s="11" t="n">
        <f aca="false">201*1.33</f>
        <v>267.33</v>
      </c>
    </row>
    <row r="44" customFormat="false" ht="12.75" hidden="false" customHeight="false" outlineLevel="0" collapsed="false">
      <c r="A44" s="12" t="s">
        <v>35</v>
      </c>
      <c r="B44" s="10" t="s">
        <v>36</v>
      </c>
      <c r="C44" s="12" t="n">
        <v>200</v>
      </c>
      <c r="D44" s="11" t="n">
        <v>0</v>
      </c>
      <c r="E44" s="11" t="n">
        <v>0</v>
      </c>
      <c r="F44" s="11" t="n">
        <v>10</v>
      </c>
      <c r="G44" s="11" t="n">
        <v>42</v>
      </c>
    </row>
    <row r="45" customFormat="false" ht="13.5" hidden="false" customHeight="true" outlineLevel="0" collapsed="false">
      <c r="A45" s="9"/>
      <c r="B45" s="10" t="s">
        <v>28</v>
      </c>
      <c r="C45" s="9" t="n">
        <v>45</v>
      </c>
      <c r="D45" s="11" t="n">
        <v>3.42</v>
      </c>
      <c r="E45" s="11" t="n">
        <v>0.36</v>
      </c>
      <c r="F45" s="11" t="n">
        <v>22.14</v>
      </c>
      <c r="G45" s="11" t="n">
        <v>110.592</v>
      </c>
    </row>
    <row r="46" customFormat="false" ht="12.75" hidden="false" customHeight="true" outlineLevel="0" collapsed="false">
      <c r="A46" s="13" t="s">
        <v>29</v>
      </c>
      <c r="B46" s="13"/>
      <c r="C46" s="6" t="n">
        <f aca="false">SUM(C42:C45)</f>
        <v>550</v>
      </c>
      <c r="D46" s="11"/>
      <c r="E46" s="11"/>
      <c r="F46" s="11"/>
      <c r="G46" s="11"/>
    </row>
    <row r="47" customFormat="false" ht="27.95" hidden="false" customHeight="true" outlineLevel="0" collapsed="false">
      <c r="A47" s="7" t="s">
        <v>53</v>
      </c>
      <c r="B47" s="7"/>
      <c r="C47" s="7"/>
      <c r="D47" s="8" t="n">
        <f aca="false">D48</f>
        <v>12.4</v>
      </c>
      <c r="E47" s="8" t="n">
        <f aca="false">E48</f>
        <v>10.6</v>
      </c>
      <c r="F47" s="8" t="n">
        <f aca="false">F48</f>
        <v>94.42</v>
      </c>
      <c r="G47" s="8" t="n">
        <f aca="false">G48</f>
        <v>544.085</v>
      </c>
    </row>
    <row r="48" customFormat="false" ht="12.75" hidden="false" customHeight="false" outlineLevel="0" collapsed="false">
      <c r="A48" s="6"/>
      <c r="B48" s="7" t="s">
        <v>18</v>
      </c>
      <c r="C48" s="6"/>
      <c r="D48" s="8" t="n">
        <f aca="false">D49+D50+D51+D52</f>
        <v>12.4</v>
      </c>
      <c r="E48" s="8" t="n">
        <f aca="false">E49+E50+E51+E52</f>
        <v>10.6</v>
      </c>
      <c r="F48" s="8" t="n">
        <f aca="false">F49+F50+F51+F52</f>
        <v>94.42</v>
      </c>
      <c r="G48" s="8" t="n">
        <f aca="false">G49+G50+G52+G51</f>
        <v>544.085</v>
      </c>
    </row>
    <row r="49" customFormat="false" ht="12.75" hidden="false" customHeight="false" outlineLevel="0" collapsed="false">
      <c r="A49" s="9"/>
      <c r="B49" s="10" t="s">
        <v>45</v>
      </c>
      <c r="C49" s="9" t="n">
        <v>100</v>
      </c>
      <c r="D49" s="11" t="n">
        <v>0.4</v>
      </c>
      <c r="E49" s="11" t="n">
        <v>0</v>
      </c>
      <c r="F49" s="11" t="n">
        <v>9.8</v>
      </c>
      <c r="G49" s="11" t="n">
        <v>42.84</v>
      </c>
    </row>
    <row r="50" customFormat="false" ht="24.75" hidden="false" customHeight="true" outlineLevel="0" collapsed="false">
      <c r="A50" s="9" t="s">
        <v>23</v>
      </c>
      <c r="B50" s="10" t="s">
        <v>54</v>
      </c>
      <c r="C50" s="9" t="n">
        <v>203</v>
      </c>
      <c r="D50" s="11" t="n">
        <v>8.2</v>
      </c>
      <c r="E50" s="11" t="n">
        <v>10.2</v>
      </c>
      <c r="F50" s="11" t="n">
        <v>50.02</v>
      </c>
      <c r="G50" s="11" t="n">
        <v>336.32</v>
      </c>
      <c r="H50" s="14"/>
      <c r="I50" s="14"/>
      <c r="J50" s="14"/>
      <c r="K50" s="14"/>
      <c r="L50" s="14"/>
      <c r="M50" s="14"/>
      <c r="N50" s="15"/>
      <c r="O50" s="14"/>
      <c r="P50" s="14"/>
      <c r="Q50" s="14"/>
      <c r="R50" s="14"/>
      <c r="S50" s="14"/>
    </row>
    <row r="51" customFormat="false" ht="12" hidden="false" customHeight="true" outlineLevel="0" collapsed="false">
      <c r="A51" s="9" t="s">
        <v>35</v>
      </c>
      <c r="B51" s="10" t="s">
        <v>36</v>
      </c>
      <c r="C51" s="9" t="n">
        <v>200</v>
      </c>
      <c r="D51" s="11" t="n">
        <v>0</v>
      </c>
      <c r="E51" s="11" t="n">
        <v>0</v>
      </c>
      <c r="F51" s="11" t="n">
        <v>10</v>
      </c>
      <c r="G51" s="11" t="n">
        <v>42</v>
      </c>
      <c r="H51" s="14"/>
      <c r="I51" s="14"/>
      <c r="J51" s="14"/>
      <c r="K51" s="14"/>
      <c r="L51" s="14"/>
      <c r="M51" s="14"/>
      <c r="N51" s="15"/>
      <c r="O51" s="14"/>
      <c r="P51" s="14"/>
      <c r="Q51" s="14"/>
      <c r="R51" s="14"/>
      <c r="S51" s="14"/>
    </row>
    <row r="52" customFormat="false" ht="12.75" hidden="false" customHeight="false" outlineLevel="0" collapsed="false">
      <c r="A52" s="12"/>
      <c r="B52" s="10" t="s">
        <v>28</v>
      </c>
      <c r="C52" s="9" t="n">
        <v>50</v>
      </c>
      <c r="D52" s="11" t="n">
        <f aca="false">3.04*1.25</f>
        <v>3.8</v>
      </c>
      <c r="E52" s="11" t="n">
        <f aca="false">0.32*1.25</f>
        <v>0.4</v>
      </c>
      <c r="F52" s="11" t="n">
        <f aca="false">19.68*1.25</f>
        <v>24.6</v>
      </c>
      <c r="G52" s="11" t="n">
        <f aca="false">98.34*1.25</f>
        <v>122.925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customFormat="false" ht="12.75" hidden="false" customHeight="true" outlineLevel="0" collapsed="false">
      <c r="A53" s="13" t="s">
        <v>29</v>
      </c>
      <c r="B53" s="13"/>
      <c r="C53" s="6" t="n">
        <f aca="false">SUM(C49:C52)</f>
        <v>553</v>
      </c>
      <c r="D53" s="11"/>
      <c r="E53" s="11"/>
      <c r="F53" s="11"/>
      <c r="G53" s="11"/>
    </row>
    <row r="54" customFormat="false" ht="27.95" hidden="false" customHeight="true" outlineLevel="0" collapsed="false">
      <c r="A54" s="7" t="s">
        <v>55</v>
      </c>
      <c r="B54" s="7"/>
      <c r="C54" s="7"/>
      <c r="D54" s="8" t="n">
        <f aca="false">D55</f>
        <v>22.9911</v>
      </c>
      <c r="E54" s="8" t="n">
        <f aca="false">E55</f>
        <v>15.0261</v>
      </c>
      <c r="F54" s="8" t="n">
        <f aca="false">F55</f>
        <v>108.6057</v>
      </c>
      <c r="G54" s="8" t="n">
        <f aca="false">G55</f>
        <v>688.5325</v>
      </c>
    </row>
    <row r="55" customFormat="false" ht="12.75" hidden="false" customHeight="false" outlineLevel="0" collapsed="false">
      <c r="A55" s="6"/>
      <c r="B55" s="7" t="s">
        <v>18</v>
      </c>
      <c r="C55" s="6"/>
      <c r="D55" s="8" t="n">
        <f aca="false">D56+D57+D58+D59+D60</f>
        <v>22.9911</v>
      </c>
      <c r="E55" s="8" t="n">
        <f aca="false">E56+E57+E58+E59+E60</f>
        <v>15.0261</v>
      </c>
      <c r="F55" s="8" t="n">
        <f aca="false">F56+F57+F58+F59+F60</f>
        <v>108.6057</v>
      </c>
      <c r="G55" s="8" t="n">
        <f aca="false">G56+G57+G58+G59+G60</f>
        <v>688.5325</v>
      </c>
    </row>
    <row r="56" customFormat="false" ht="17.25" hidden="false" customHeight="true" outlineLevel="0" collapsed="false">
      <c r="A56" s="9" t="s">
        <v>56</v>
      </c>
      <c r="B56" s="10" t="s">
        <v>57</v>
      </c>
      <c r="C56" s="9" t="n">
        <v>100</v>
      </c>
      <c r="D56" s="11" t="n">
        <f aca="false">11.81*1.11</f>
        <v>13.1091</v>
      </c>
      <c r="E56" s="11" t="n">
        <f aca="false">8.11*1.11</f>
        <v>9.0021</v>
      </c>
      <c r="F56" s="11" t="n">
        <f aca="false">4.87*1.11</f>
        <v>5.4057</v>
      </c>
      <c r="G56" s="11" t="n">
        <f aca="false">143.05*1.11</f>
        <v>158.7855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customFormat="false" ht="13.5" hidden="false" customHeight="true" outlineLevel="0" collapsed="false">
      <c r="A57" s="9" t="s">
        <v>58</v>
      </c>
      <c r="B57" s="10" t="s">
        <v>59</v>
      </c>
      <c r="C57" s="9" t="n">
        <v>180</v>
      </c>
      <c r="D57" s="11" t="n">
        <f aca="false">3.81*1.2</f>
        <v>4.572</v>
      </c>
      <c r="E57" s="11" t="n">
        <f aca="false">2.72*1.2</f>
        <v>3.264</v>
      </c>
      <c r="F57" s="11" t="n">
        <f aca="false">40*1.2</f>
        <v>48</v>
      </c>
      <c r="G57" s="11" t="n">
        <f aca="false">208.48*1.2</f>
        <v>250.176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14.25" hidden="false" customHeight="true" outlineLevel="0" collapsed="false">
      <c r="A58" s="9"/>
      <c r="B58" s="10" t="s">
        <v>60</v>
      </c>
      <c r="C58" s="9" t="n">
        <v>20</v>
      </c>
      <c r="D58" s="11" t="n">
        <v>1.5</v>
      </c>
      <c r="E58" s="11" t="n">
        <v>2.36</v>
      </c>
      <c r="F58" s="11" t="n">
        <v>14.98</v>
      </c>
      <c r="G58" s="11" t="n">
        <v>91</v>
      </c>
      <c r="H58" s="1"/>
      <c r="I58" s="1"/>
      <c r="J58" s="16"/>
      <c r="K58" s="1"/>
      <c r="L58" s="1"/>
      <c r="M58" s="16"/>
      <c r="N58" s="1"/>
      <c r="O58" s="1"/>
      <c r="P58" s="1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14.25" hidden="false" customHeight="true" outlineLevel="0" collapsed="false">
      <c r="A59" s="9" t="s">
        <v>61</v>
      </c>
      <c r="B59" s="10" t="s">
        <v>62</v>
      </c>
      <c r="C59" s="9" t="n">
        <v>200</v>
      </c>
      <c r="D59" s="11" t="n">
        <v>0.01</v>
      </c>
      <c r="E59" s="11"/>
      <c r="F59" s="11" t="n">
        <v>15.62</v>
      </c>
      <c r="G59" s="11" t="n">
        <v>65.646</v>
      </c>
      <c r="H59" s="1"/>
      <c r="I59" s="1"/>
      <c r="J59" s="16"/>
      <c r="K59" s="1"/>
      <c r="L59" s="1"/>
      <c r="M59" s="16"/>
      <c r="N59" s="1"/>
      <c r="O59" s="1"/>
      <c r="P59" s="1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14.25" hidden="false" customHeight="true" outlineLevel="0" collapsed="false">
      <c r="A60" s="9"/>
      <c r="B60" s="10" t="s">
        <v>28</v>
      </c>
      <c r="C60" s="9" t="n">
        <v>50</v>
      </c>
      <c r="D60" s="11" t="n">
        <f aca="false">3.04*1.25</f>
        <v>3.8</v>
      </c>
      <c r="E60" s="11" t="n">
        <f aca="false">0.32*1.25</f>
        <v>0.4</v>
      </c>
      <c r="F60" s="11" t="n">
        <f aca="false">19.68*1.25</f>
        <v>24.6</v>
      </c>
      <c r="G60" s="11" t="n">
        <f aca="false">98.34*1.25</f>
        <v>122.925</v>
      </c>
      <c r="H60" s="17"/>
      <c r="I60" s="1"/>
      <c r="J60" s="17"/>
      <c r="K60" s="1"/>
      <c r="L60" s="1"/>
      <c r="M60" s="17"/>
      <c r="N60" s="16"/>
      <c r="O60" s="16"/>
      <c r="P60" s="16"/>
      <c r="Q60" s="16"/>
      <c r="R60" s="16"/>
      <c r="S60" s="16"/>
      <c r="T60" s="16"/>
      <c r="U60" s="16"/>
      <c r="V60" s="16"/>
      <c r="W60" s="1"/>
      <c r="X60" s="16"/>
      <c r="Y60" s="16"/>
      <c r="Z60" s="17"/>
    </row>
    <row r="61" customFormat="false" ht="15" hidden="false" customHeight="true" outlineLevel="0" collapsed="false">
      <c r="A61" s="13" t="s">
        <v>29</v>
      </c>
      <c r="B61" s="13"/>
      <c r="C61" s="6" t="n">
        <f aca="false">SUM(C56:C60)</f>
        <v>550</v>
      </c>
      <c r="D61" s="11"/>
      <c r="E61" s="11"/>
      <c r="F61" s="11"/>
      <c r="G61" s="11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customFormat="false" ht="27.95" hidden="false" customHeight="true" outlineLevel="0" collapsed="false">
      <c r="A62" s="7" t="s">
        <v>63</v>
      </c>
      <c r="B62" s="7"/>
      <c r="C62" s="7"/>
      <c r="D62" s="8" t="n">
        <f aca="false">D63</f>
        <v>19.6212</v>
      </c>
      <c r="E62" s="8" t="n">
        <f aca="false">E63</f>
        <v>15.2972</v>
      </c>
      <c r="F62" s="8" t="n">
        <f aca="false">F63</f>
        <v>83.36</v>
      </c>
      <c r="G62" s="8" t="n">
        <f aca="false">G63</f>
        <v>570.966</v>
      </c>
    </row>
    <row r="63" customFormat="false" ht="12.75" hidden="false" customHeight="false" outlineLevel="0" collapsed="false">
      <c r="A63" s="6"/>
      <c r="B63" s="7" t="s">
        <v>18</v>
      </c>
      <c r="C63" s="6"/>
      <c r="D63" s="8" t="n">
        <f aca="false">D64+D65+D66+D67</f>
        <v>19.6212</v>
      </c>
      <c r="E63" s="8" t="n">
        <f aca="false">E64+E65+E66+E67</f>
        <v>15.2972</v>
      </c>
      <c r="F63" s="8" t="n">
        <f aca="false">F64+F65+F66+F67</f>
        <v>83.36</v>
      </c>
      <c r="G63" s="8" t="n">
        <f aca="false">G64+G65+G66+G67</f>
        <v>570.966</v>
      </c>
    </row>
    <row r="64" customFormat="false" ht="12.75" hidden="false" customHeight="false" outlineLevel="0" collapsed="false">
      <c r="A64" s="9" t="s">
        <v>64</v>
      </c>
      <c r="B64" s="10" t="s">
        <v>65</v>
      </c>
      <c r="C64" s="9" t="n">
        <v>110</v>
      </c>
      <c r="D64" s="11" t="n">
        <v>9.08</v>
      </c>
      <c r="E64" s="11" t="n">
        <v>11.2</v>
      </c>
      <c r="F64" s="11" t="n">
        <v>5.8</v>
      </c>
      <c r="G64" s="11" t="n">
        <v>163.296</v>
      </c>
    </row>
    <row r="65" customFormat="false" ht="12.75" hidden="false" customHeight="false" outlineLevel="0" collapsed="false">
      <c r="A65" s="9" t="s">
        <v>51</v>
      </c>
      <c r="B65" s="10" t="s">
        <v>52</v>
      </c>
      <c r="C65" s="9" t="n">
        <v>200</v>
      </c>
      <c r="D65" s="11" t="n">
        <f aca="false">5.64*1.33</f>
        <v>7.5012</v>
      </c>
      <c r="E65" s="11" t="n">
        <f aca="false">2.84*1.33</f>
        <v>3.7772</v>
      </c>
      <c r="F65" s="11" t="n">
        <f aca="false">36*1.33</f>
        <v>47.88</v>
      </c>
      <c r="G65" s="11" t="n">
        <f aca="false">201*1.33</f>
        <v>267.33</v>
      </c>
    </row>
    <row r="66" customFormat="false" ht="12.75" hidden="false" customHeight="false" outlineLevel="0" collapsed="false">
      <c r="A66" s="9" t="s">
        <v>35</v>
      </c>
      <c r="B66" s="10" t="s">
        <v>36</v>
      </c>
      <c r="C66" s="12" t="n">
        <v>200</v>
      </c>
      <c r="D66" s="11" t="n">
        <v>0</v>
      </c>
      <c r="E66" s="11" t="n">
        <v>0</v>
      </c>
      <c r="F66" s="11" t="n">
        <v>10</v>
      </c>
      <c r="G66" s="11" t="n">
        <v>42</v>
      </c>
    </row>
    <row r="67" customFormat="false" ht="12.75" hidden="false" customHeight="false" outlineLevel="0" collapsed="false">
      <c r="A67" s="9"/>
      <c r="B67" s="10" t="s">
        <v>28</v>
      </c>
      <c r="C67" s="9" t="n">
        <v>40</v>
      </c>
      <c r="D67" s="11" t="n">
        <v>3.04</v>
      </c>
      <c r="E67" s="11" t="n">
        <v>0.32</v>
      </c>
      <c r="F67" s="11" t="n">
        <v>19.68</v>
      </c>
      <c r="G67" s="11" t="n">
        <v>98.34</v>
      </c>
    </row>
    <row r="68" customFormat="false" ht="12.75" hidden="false" customHeight="true" outlineLevel="0" collapsed="false">
      <c r="A68" s="13" t="s">
        <v>29</v>
      </c>
      <c r="B68" s="13"/>
      <c r="C68" s="18" t="n">
        <f aca="false">SUM(C64:C67)</f>
        <v>550</v>
      </c>
      <c r="D68" s="11"/>
      <c r="E68" s="11"/>
      <c r="F68" s="11"/>
      <c r="G68" s="11"/>
    </row>
    <row r="69" customFormat="false" ht="27.95" hidden="false" customHeight="true" outlineLevel="0" collapsed="false">
      <c r="A69" s="7" t="s">
        <v>66</v>
      </c>
      <c r="B69" s="7"/>
      <c r="C69" s="7"/>
      <c r="D69" s="8" t="n">
        <f aca="false">D70</f>
        <v>35.6536</v>
      </c>
      <c r="E69" s="8" t="n">
        <f aca="false">E70</f>
        <v>14.3833</v>
      </c>
      <c r="F69" s="8" t="n">
        <f aca="false">F70</f>
        <v>83.43</v>
      </c>
      <c r="G69" s="8" t="n">
        <f aca="false">G70</f>
        <v>629.687</v>
      </c>
    </row>
    <row r="70" customFormat="false" ht="12.75" hidden="false" customHeight="false" outlineLevel="0" collapsed="false">
      <c r="A70" s="6"/>
      <c r="B70" s="7" t="s">
        <v>18</v>
      </c>
      <c r="C70" s="6"/>
      <c r="D70" s="8" t="n">
        <f aca="false">D71+D72+D73+D74+D75</f>
        <v>35.6536</v>
      </c>
      <c r="E70" s="8" t="n">
        <f aca="false">E71+E72+E73+E74+E75</f>
        <v>14.3833</v>
      </c>
      <c r="F70" s="8" t="n">
        <f aca="false">F71+F72+F73+F74+F75</f>
        <v>83.43</v>
      </c>
      <c r="G70" s="8" t="n">
        <f aca="false">G71+G72+G73+G74+G75</f>
        <v>629.687</v>
      </c>
    </row>
    <row r="71" customFormat="false" ht="12.75" hidden="false" customHeight="true" outlineLevel="0" collapsed="false">
      <c r="A71" s="9"/>
      <c r="B71" s="10" t="s">
        <v>67</v>
      </c>
      <c r="C71" s="9" t="n">
        <v>40</v>
      </c>
      <c r="D71" s="11" t="n">
        <v>5.08</v>
      </c>
      <c r="E71" s="11" t="n">
        <v>4.6</v>
      </c>
      <c r="F71" s="11" t="n">
        <v>0.28</v>
      </c>
      <c r="G71" s="11" t="n">
        <v>63.912</v>
      </c>
    </row>
    <row r="72" customFormat="false" ht="25.5" hidden="false" customHeight="false" outlineLevel="0" collapsed="false">
      <c r="A72" s="9" t="s">
        <v>68</v>
      </c>
      <c r="B72" s="19" t="s">
        <v>69</v>
      </c>
      <c r="C72" s="20" t="n">
        <v>160</v>
      </c>
      <c r="D72" s="21" t="n">
        <f aca="false">18.92*1.33+0.06</f>
        <v>25.2236</v>
      </c>
      <c r="E72" s="21" t="n">
        <f aca="false">7.01*1.33+0.06</f>
        <v>9.3833</v>
      </c>
      <c r="F72" s="21" t="n">
        <f aca="false">15*1.33+16.77</f>
        <v>36.72</v>
      </c>
      <c r="G72" s="21" t="n">
        <v>344.61</v>
      </c>
    </row>
    <row r="73" customFormat="false" ht="12.75" hidden="false" customHeight="false" outlineLevel="0" collapsed="false">
      <c r="A73" s="9"/>
      <c r="B73" s="10" t="s">
        <v>45</v>
      </c>
      <c r="C73" s="9" t="n">
        <v>100</v>
      </c>
      <c r="D73" s="11" t="n">
        <v>0.4</v>
      </c>
      <c r="E73" s="11" t="n">
        <v>0</v>
      </c>
      <c r="F73" s="11" t="n">
        <v>9.8</v>
      </c>
      <c r="G73" s="11" t="n">
        <v>42.84</v>
      </c>
    </row>
    <row r="74" customFormat="false" ht="12.75" hidden="false" customHeight="false" outlineLevel="0" collapsed="false">
      <c r="A74" s="9" t="s">
        <v>42</v>
      </c>
      <c r="B74" s="10" t="s">
        <v>70</v>
      </c>
      <c r="C74" s="9" t="n">
        <v>200</v>
      </c>
      <c r="D74" s="11" t="n">
        <v>1.15</v>
      </c>
      <c r="E74" s="11"/>
      <c r="F74" s="11" t="n">
        <v>12.03</v>
      </c>
      <c r="G74" s="11" t="n">
        <v>55.4</v>
      </c>
    </row>
    <row r="75" customFormat="false" ht="12.75" hidden="false" customHeight="false" outlineLevel="0" collapsed="false">
      <c r="A75" s="9"/>
      <c r="B75" s="10" t="s">
        <v>28</v>
      </c>
      <c r="C75" s="9" t="n">
        <v>50</v>
      </c>
      <c r="D75" s="11" t="n">
        <f aca="false">3.04*1.25</f>
        <v>3.8</v>
      </c>
      <c r="E75" s="11" t="n">
        <f aca="false">0.32*1.25</f>
        <v>0.4</v>
      </c>
      <c r="F75" s="11" t="n">
        <f aca="false">19.68*1.25</f>
        <v>24.6</v>
      </c>
      <c r="G75" s="11" t="n">
        <f aca="false">98.34*1.25</f>
        <v>122.925</v>
      </c>
    </row>
    <row r="76" customFormat="false" ht="12.75" hidden="false" customHeight="true" outlineLevel="0" collapsed="false">
      <c r="A76" s="13" t="s">
        <v>29</v>
      </c>
      <c r="B76" s="13"/>
      <c r="C76" s="6" t="n">
        <f aca="false">SUM(C71:C75)</f>
        <v>550</v>
      </c>
      <c r="D76" s="11"/>
      <c r="E76" s="11"/>
      <c r="F76" s="11"/>
      <c r="G76" s="11"/>
    </row>
    <row r="77" customFormat="false" ht="27.95" hidden="false" customHeight="true" outlineLevel="0" collapsed="false">
      <c r="A77" s="7" t="s">
        <v>71</v>
      </c>
      <c r="B77" s="7"/>
      <c r="C77" s="7"/>
      <c r="D77" s="8" t="n">
        <f aca="false">D78</f>
        <v>26.382</v>
      </c>
      <c r="E77" s="8" t="n">
        <f aca="false">E78</f>
        <v>13.664</v>
      </c>
      <c r="F77" s="8" t="n">
        <f aca="false">F78</f>
        <v>87.74</v>
      </c>
      <c r="G77" s="8" t="n">
        <f aca="false">G78</f>
        <v>603.101</v>
      </c>
      <c r="H77" s="3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22"/>
    </row>
    <row r="78" customFormat="false" ht="12.75" hidden="false" customHeight="false" outlineLevel="0" collapsed="false">
      <c r="A78" s="6"/>
      <c r="B78" s="7" t="s">
        <v>18</v>
      </c>
      <c r="C78" s="6"/>
      <c r="D78" s="8" t="n">
        <f aca="false">D79+D80+D81+D82+D83</f>
        <v>26.382</v>
      </c>
      <c r="E78" s="8" t="n">
        <f aca="false">E79+E80+E81+E82+E83</f>
        <v>13.664</v>
      </c>
      <c r="F78" s="8" t="n">
        <f aca="false">F79+F80+F81+F82+F83</f>
        <v>87.74</v>
      </c>
      <c r="G78" s="8" t="n">
        <f aca="false">G79+G80+G81+G82+G83</f>
        <v>603.101</v>
      </c>
      <c r="H78" s="3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22"/>
    </row>
    <row r="79" customFormat="false" ht="12.75" hidden="false" customHeight="false" outlineLevel="0" collapsed="false">
      <c r="A79" s="9" t="s">
        <v>72</v>
      </c>
      <c r="B79" s="10" t="s">
        <v>73</v>
      </c>
      <c r="C79" s="9" t="n">
        <v>100</v>
      </c>
      <c r="D79" s="11" t="n">
        <v>17.83</v>
      </c>
      <c r="E79" s="11" t="n">
        <v>7.99</v>
      </c>
      <c r="F79" s="11" t="n">
        <v>4.25</v>
      </c>
      <c r="G79" s="11" t="n">
        <v>165</v>
      </c>
      <c r="H79" s="1"/>
      <c r="I79" s="1"/>
      <c r="J79" s="1"/>
      <c r="K79" s="1"/>
      <c r="L79" s="1"/>
      <c r="M79" s="1"/>
      <c r="N79" s="1"/>
      <c r="O79" s="1"/>
      <c r="P79" s="16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12.75" hidden="false" customHeight="false" outlineLevel="0" collapsed="false">
      <c r="A80" s="9" t="s">
        <v>58</v>
      </c>
      <c r="B80" s="10" t="s">
        <v>59</v>
      </c>
      <c r="C80" s="9" t="n">
        <v>180</v>
      </c>
      <c r="D80" s="11" t="n">
        <f aca="false">3.81*1.2</f>
        <v>4.572</v>
      </c>
      <c r="E80" s="11" t="n">
        <f aca="false">2.72*1.2</f>
        <v>3.264</v>
      </c>
      <c r="F80" s="11" t="n">
        <f aca="false">40*1.2</f>
        <v>48</v>
      </c>
      <c r="G80" s="11" t="n">
        <f aca="false">208.48*1.2</f>
        <v>250.176</v>
      </c>
      <c r="H80" s="1"/>
      <c r="I80" s="1"/>
      <c r="J80" s="1"/>
      <c r="K80" s="1"/>
      <c r="L80" s="1"/>
      <c r="M80" s="1"/>
      <c r="N80" s="16"/>
      <c r="O80" s="1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12.75" hidden="false" customHeight="false" outlineLevel="0" collapsed="false">
      <c r="A81" s="12" t="s">
        <v>74</v>
      </c>
      <c r="B81" s="10" t="s">
        <v>75</v>
      </c>
      <c r="C81" s="9" t="n">
        <v>20</v>
      </c>
      <c r="D81" s="11" t="n">
        <v>0.18</v>
      </c>
      <c r="E81" s="11" t="n">
        <v>2.01</v>
      </c>
      <c r="F81" s="11" t="n">
        <v>0.89</v>
      </c>
      <c r="G81" s="11" t="n">
        <v>23</v>
      </c>
      <c r="H81" s="1"/>
      <c r="I81" s="1"/>
      <c r="J81" s="16"/>
      <c r="K81" s="1"/>
      <c r="L81" s="1"/>
      <c r="M81" s="1"/>
      <c r="N81" s="1"/>
      <c r="O81" s="1"/>
      <c r="P81" s="16"/>
      <c r="Q81" s="16"/>
      <c r="R81" s="16"/>
      <c r="S81" s="16"/>
      <c r="T81" s="16"/>
      <c r="U81" s="16"/>
      <c r="V81" s="16"/>
      <c r="W81" s="1"/>
      <c r="X81" s="16"/>
      <c r="Y81" s="16"/>
      <c r="Z81" s="1"/>
    </row>
    <row r="82" customFormat="false" ht="12.75" hidden="false" customHeight="false" outlineLevel="0" collapsed="false">
      <c r="A82" s="9" t="s">
        <v>35</v>
      </c>
      <c r="B82" s="10" t="s">
        <v>36</v>
      </c>
      <c r="C82" s="12" t="n">
        <v>200</v>
      </c>
      <c r="D82" s="11" t="n">
        <v>0</v>
      </c>
      <c r="E82" s="11" t="n">
        <v>0</v>
      </c>
      <c r="F82" s="11" t="n">
        <v>10</v>
      </c>
      <c r="G82" s="11" t="n">
        <v>42</v>
      </c>
      <c r="H82" s="1"/>
      <c r="I82" s="1"/>
      <c r="J82" s="16"/>
      <c r="K82" s="1"/>
      <c r="L82" s="1"/>
      <c r="M82" s="1"/>
      <c r="N82" s="1"/>
      <c r="O82" s="1"/>
      <c r="P82" s="16"/>
      <c r="Q82" s="16"/>
      <c r="R82" s="16"/>
      <c r="S82" s="16"/>
      <c r="T82" s="16"/>
      <c r="U82" s="16"/>
      <c r="V82" s="16"/>
      <c r="W82" s="1"/>
      <c r="X82" s="16"/>
      <c r="Y82" s="16"/>
      <c r="Z82" s="1"/>
    </row>
    <row r="83" customFormat="false" ht="12.75" hidden="false" customHeight="false" outlineLevel="0" collapsed="false">
      <c r="A83" s="9"/>
      <c r="B83" s="10" t="s">
        <v>28</v>
      </c>
      <c r="C83" s="9" t="n">
        <v>50</v>
      </c>
      <c r="D83" s="11" t="n">
        <f aca="false">3.04*1.25</f>
        <v>3.8</v>
      </c>
      <c r="E83" s="11" t="n">
        <f aca="false">0.32*1.25</f>
        <v>0.4</v>
      </c>
      <c r="F83" s="11" t="n">
        <f aca="false">19.68*1.25</f>
        <v>24.6</v>
      </c>
      <c r="G83" s="11" t="n">
        <f aca="false">98.34*1.25</f>
        <v>122.925</v>
      </c>
      <c r="H83" s="17"/>
      <c r="I83" s="1"/>
      <c r="J83" s="17"/>
      <c r="K83" s="1"/>
      <c r="L83" s="1"/>
      <c r="M83" s="17"/>
      <c r="N83" s="16"/>
      <c r="O83" s="16"/>
      <c r="P83" s="16"/>
      <c r="Q83" s="16"/>
      <c r="R83" s="16"/>
      <c r="S83" s="16"/>
      <c r="T83" s="16"/>
      <c r="U83" s="16"/>
      <c r="V83" s="16"/>
      <c r="W83" s="1"/>
      <c r="X83" s="16"/>
      <c r="Y83" s="16"/>
      <c r="Z83" s="17"/>
    </row>
    <row r="84" customFormat="false" ht="12.75" hidden="false" customHeight="true" outlineLevel="0" collapsed="false">
      <c r="A84" s="13" t="s">
        <v>29</v>
      </c>
      <c r="B84" s="13"/>
      <c r="C84" s="18" t="n">
        <f aca="false">SUM(C79:C83)</f>
        <v>550</v>
      </c>
      <c r="D84" s="9"/>
      <c r="E84" s="9"/>
      <c r="F84" s="9"/>
      <c r="G84" s="9"/>
      <c r="H84" s="36"/>
      <c r="I84" s="1"/>
      <c r="J84" s="16"/>
      <c r="K84" s="1"/>
      <c r="L84" s="1"/>
      <c r="M84" s="1"/>
      <c r="N84" s="17"/>
      <c r="O84" s="17"/>
      <c r="P84" s="16"/>
      <c r="Q84" s="16"/>
      <c r="R84" s="16"/>
      <c r="S84" s="16"/>
      <c r="T84" s="16"/>
      <c r="U84" s="16"/>
      <c r="V84" s="16"/>
      <c r="W84" s="17"/>
      <c r="X84" s="16"/>
      <c r="Y84" s="16"/>
      <c r="Z84" s="17"/>
    </row>
  </sheetData>
  <mergeCells count="27">
    <mergeCell ref="A1:G2"/>
    <mergeCell ref="A3:G4"/>
    <mergeCell ref="A5:A6"/>
    <mergeCell ref="B5:B6"/>
    <mergeCell ref="C5:C6"/>
    <mergeCell ref="D5:F5"/>
    <mergeCell ref="G5:G6"/>
    <mergeCell ref="A8:C8"/>
    <mergeCell ref="A18:B18"/>
    <mergeCell ref="A19:C19"/>
    <mergeCell ref="A25:B25"/>
    <mergeCell ref="A26:C26"/>
    <mergeCell ref="A32:B32"/>
    <mergeCell ref="A33:C33"/>
    <mergeCell ref="A39:B39"/>
    <mergeCell ref="A40:C40"/>
    <mergeCell ref="A46:B46"/>
    <mergeCell ref="A47:C47"/>
    <mergeCell ref="A53:B53"/>
    <mergeCell ref="A54:C54"/>
    <mergeCell ref="A61:B61"/>
    <mergeCell ref="A62:C62"/>
    <mergeCell ref="A68:B68"/>
    <mergeCell ref="A69:C69"/>
    <mergeCell ref="A76:B76"/>
    <mergeCell ref="A77:C77"/>
    <mergeCell ref="A84:B84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A1:Z161"/>
  <sheetViews>
    <sheetView showFormulas="false" showGridLines="true" showRowColHeaders="true" showZeros="true" rightToLeft="false" tabSelected="false" showOutlineSymbols="true" defaultGridColor="true" view="normal" topLeftCell="A27" colorId="64" zoomScale="100" zoomScaleNormal="100" zoomScalePageLayoutView="100" workbookViewId="0">
      <selection pane="topLeft" activeCell="J85" activeCellId="0" sqref="J85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2" width="36.99"/>
    <col collapsed="false" customWidth="true" hidden="false" outlineLevel="0" max="3" min="3" style="1" width="10"/>
    <col collapsed="false" customWidth="true" hidden="false" outlineLevel="0" max="4" min="4" style="1" width="7.86"/>
    <col collapsed="false" customWidth="true" hidden="false" outlineLevel="0" max="5" min="5" style="1" width="8.71"/>
    <col collapsed="false" customWidth="true" hidden="false" outlineLevel="0" max="6" min="6" style="1" width="8.42"/>
    <col collapsed="false" customWidth="true" hidden="false" outlineLevel="0" max="7" min="7" style="1" width="10.99"/>
    <col collapsed="false" customWidth="false" hidden="false" outlineLevel="0" max="1024" min="8" style="3" width="9.14"/>
  </cols>
  <sheetData>
    <row r="1" customFormat="false" ht="12.75" hidden="false" customHeight="true" outlineLevel="0" collapsed="false">
      <c r="A1" s="4" t="s">
        <v>79</v>
      </c>
      <c r="B1" s="4"/>
      <c r="C1" s="4"/>
      <c r="D1" s="4"/>
      <c r="E1" s="4"/>
      <c r="F1" s="4"/>
      <c r="G1" s="4"/>
    </row>
    <row r="2" customFormat="false" ht="12.75" hidden="false" customHeight="false" outlineLevel="0" collapsed="false">
      <c r="A2" s="4"/>
      <c r="B2" s="4"/>
      <c r="C2" s="4"/>
      <c r="D2" s="4"/>
      <c r="E2" s="4"/>
      <c r="F2" s="4"/>
      <c r="G2" s="4"/>
    </row>
    <row r="3" customFormat="false" ht="12.75" hidden="false" customHeight="true" outlineLevel="0" collapsed="false">
      <c r="A3" s="5" t="s">
        <v>80</v>
      </c>
      <c r="B3" s="5"/>
      <c r="C3" s="5"/>
      <c r="D3" s="5"/>
      <c r="E3" s="5"/>
      <c r="F3" s="5"/>
      <c r="G3" s="5"/>
    </row>
    <row r="4" customFormat="false" ht="30.75" hidden="false" customHeight="true" outlineLevel="0" collapsed="false">
      <c r="A4" s="5"/>
      <c r="B4" s="5"/>
      <c r="C4" s="5"/>
      <c r="D4" s="5"/>
      <c r="E4" s="5"/>
      <c r="F4" s="5"/>
      <c r="G4" s="5"/>
    </row>
    <row r="5" customFormat="false" ht="33.75" hidden="false" customHeight="true" outlineLevel="0" collapsed="false">
      <c r="A5" s="6" t="s">
        <v>2</v>
      </c>
      <c r="B5" s="6" t="s">
        <v>3</v>
      </c>
      <c r="C5" s="6" t="s">
        <v>4</v>
      </c>
      <c r="D5" s="6" t="s">
        <v>5</v>
      </c>
      <c r="E5" s="6"/>
      <c r="F5" s="6"/>
      <c r="G5" s="6" t="s">
        <v>6</v>
      </c>
    </row>
    <row r="6" customFormat="false" ht="34.5" hidden="false" customHeight="true" outlineLevel="0" collapsed="false">
      <c r="A6" s="6"/>
      <c r="B6" s="6"/>
      <c r="C6" s="6"/>
      <c r="D6" s="6" t="s">
        <v>7</v>
      </c>
      <c r="E6" s="6" t="s">
        <v>8</v>
      </c>
      <c r="F6" s="6" t="s">
        <v>9</v>
      </c>
      <c r="G6" s="6"/>
    </row>
    <row r="7" customFormat="false" ht="12.75" hidden="false" customHeight="false" outlineLevel="0" collapsed="false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</row>
    <row r="8" customFormat="false" ht="27.95" hidden="false" customHeight="true" outlineLevel="0" collapsed="false">
      <c r="A8" s="7" t="s">
        <v>17</v>
      </c>
      <c r="B8" s="7"/>
      <c r="C8" s="7"/>
      <c r="D8" s="8" t="n">
        <f aca="false">D9+D19</f>
        <v>41.21</v>
      </c>
      <c r="E8" s="8" t="n">
        <f aca="false">E9+E19</f>
        <v>45.02</v>
      </c>
      <c r="F8" s="8" t="n">
        <f aca="false">F9+F19</f>
        <v>190.07</v>
      </c>
      <c r="G8" s="8" t="n">
        <f aca="false">G9+G19</f>
        <v>1377.05</v>
      </c>
    </row>
    <row r="9" customFormat="false" ht="12.75" hidden="false" customHeight="true" outlineLevel="0" collapsed="false">
      <c r="A9" s="6"/>
      <c r="B9" s="7" t="s">
        <v>18</v>
      </c>
      <c r="C9" s="7"/>
      <c r="D9" s="8" t="n">
        <f aca="false">D10+D11+D12+D13+D14+D15</f>
        <v>16.41</v>
      </c>
      <c r="E9" s="8" t="n">
        <f aca="false">E10+E11+E12+E13+E14+E15</f>
        <v>19.87</v>
      </c>
      <c r="F9" s="8" t="n">
        <f aca="false">F10+F11+F12+F13+F14+F15</f>
        <v>99.29</v>
      </c>
      <c r="G9" s="8" t="n">
        <f aca="false">G10+G11+G12+G13+G14+G15</f>
        <v>665</v>
      </c>
    </row>
    <row r="10" customFormat="false" ht="12.75" hidden="false" customHeight="false" outlineLevel="0" collapsed="false">
      <c r="A10" s="9" t="s">
        <v>19</v>
      </c>
      <c r="B10" s="10" t="s">
        <v>20</v>
      </c>
      <c r="C10" s="9" t="n">
        <v>10</v>
      </c>
      <c r="D10" s="11" t="n">
        <v>2.6</v>
      </c>
      <c r="E10" s="11" t="n">
        <v>2.65</v>
      </c>
      <c r="F10" s="11" t="n">
        <v>0.35</v>
      </c>
      <c r="G10" s="11" t="n">
        <v>36.24</v>
      </c>
    </row>
    <row r="11" customFormat="false" ht="12.75" hidden="false" customHeight="false" outlineLevel="0" collapsed="false">
      <c r="A11" s="9" t="s">
        <v>21</v>
      </c>
      <c r="B11" s="10" t="s">
        <v>22</v>
      </c>
      <c r="C11" s="9" t="n">
        <v>5</v>
      </c>
      <c r="D11" s="11" t="n">
        <v>0.05</v>
      </c>
      <c r="E11" s="11" t="n">
        <v>3.63</v>
      </c>
      <c r="F11" s="11" t="n">
        <v>0.07</v>
      </c>
      <c r="G11" s="11" t="n">
        <v>33.11</v>
      </c>
    </row>
    <row r="12" customFormat="false" ht="25.5" hidden="false" customHeight="false" outlineLevel="0" collapsed="false">
      <c r="A12" s="9" t="s">
        <v>23</v>
      </c>
      <c r="B12" s="10" t="s">
        <v>24</v>
      </c>
      <c r="C12" s="9" t="n">
        <v>205</v>
      </c>
      <c r="D12" s="11" t="n">
        <v>6.81</v>
      </c>
      <c r="E12" s="11" t="n">
        <v>10.45</v>
      </c>
      <c r="F12" s="11" t="n">
        <v>29.51</v>
      </c>
      <c r="G12" s="11" t="n">
        <v>246.6</v>
      </c>
    </row>
    <row r="13" customFormat="false" ht="12.75" hidden="false" customHeight="false" outlineLevel="0" collapsed="false">
      <c r="A13" s="9"/>
      <c r="B13" s="10" t="s">
        <v>25</v>
      </c>
      <c r="C13" s="9" t="n">
        <v>40</v>
      </c>
      <c r="D13" s="11" t="n">
        <v>1.92</v>
      </c>
      <c r="E13" s="11" t="n">
        <v>1.12</v>
      </c>
      <c r="F13" s="11" t="n">
        <v>31.08</v>
      </c>
      <c r="G13" s="11" t="n">
        <v>148.68</v>
      </c>
    </row>
    <row r="14" customFormat="false" ht="12.75" hidden="false" customHeight="false" outlineLevel="0" collapsed="false">
      <c r="A14" s="9" t="s">
        <v>26</v>
      </c>
      <c r="B14" s="10" t="s">
        <v>27</v>
      </c>
      <c r="C14" s="9" t="n">
        <v>200</v>
      </c>
      <c r="D14" s="11" t="n">
        <v>1.99</v>
      </c>
      <c r="E14" s="11" t="n">
        <v>1.7</v>
      </c>
      <c r="F14" s="11" t="n">
        <v>18.6</v>
      </c>
      <c r="G14" s="11" t="n">
        <v>102.03</v>
      </c>
    </row>
    <row r="15" customFormat="false" ht="12.75" hidden="false" customHeight="false" outlineLevel="0" collapsed="false">
      <c r="A15" s="9"/>
      <c r="B15" s="10" t="s">
        <v>28</v>
      </c>
      <c r="C15" s="9" t="n">
        <v>40</v>
      </c>
      <c r="D15" s="11" t="n">
        <v>3.04</v>
      </c>
      <c r="E15" s="11" t="n">
        <v>0.32</v>
      </c>
      <c r="F15" s="11" t="n">
        <v>19.68</v>
      </c>
      <c r="G15" s="11" t="n">
        <v>98.34</v>
      </c>
    </row>
    <row r="16" customFormat="false" ht="12.75" hidden="true" customHeight="false" outlineLevel="0" collapsed="false">
      <c r="A16" s="12"/>
      <c r="B16" s="10"/>
      <c r="C16" s="12"/>
      <c r="D16" s="11"/>
      <c r="E16" s="11"/>
      <c r="F16" s="11"/>
      <c r="G16" s="11"/>
    </row>
    <row r="17" customFormat="false" ht="12.75" hidden="true" customHeight="false" outlineLevel="0" collapsed="false">
      <c r="A17" s="9"/>
      <c r="B17" s="10"/>
      <c r="C17" s="9"/>
      <c r="D17" s="11"/>
      <c r="E17" s="11"/>
      <c r="F17" s="11"/>
      <c r="G17" s="11"/>
    </row>
    <row r="18" customFormat="false" ht="12.75" hidden="false" customHeight="true" outlineLevel="0" collapsed="false">
      <c r="A18" s="13" t="s">
        <v>29</v>
      </c>
      <c r="B18" s="13"/>
      <c r="C18" s="6" t="n">
        <f aca="false">SUM(C10:C17)</f>
        <v>500</v>
      </c>
      <c r="D18" s="11"/>
      <c r="E18" s="11"/>
      <c r="F18" s="11"/>
      <c r="G18" s="11"/>
    </row>
    <row r="19" customFormat="false" ht="12.75" hidden="false" customHeight="true" outlineLevel="0" collapsed="false">
      <c r="A19" s="9"/>
      <c r="B19" s="7" t="s">
        <v>81</v>
      </c>
      <c r="C19" s="7"/>
      <c r="D19" s="8" t="n">
        <f aca="false">D20+D21+D22+D23+D24</f>
        <v>24.8</v>
      </c>
      <c r="E19" s="8" t="n">
        <f aca="false">E20+E21+E22+E23+E24</f>
        <v>25.15</v>
      </c>
      <c r="F19" s="8" t="n">
        <f aca="false">F20+F21+F22+F23+F24</f>
        <v>90.78</v>
      </c>
      <c r="G19" s="8" t="n">
        <f aca="false">G20+G21+G22+G23+G24</f>
        <v>712.05</v>
      </c>
    </row>
    <row r="20" customFormat="false" ht="12.75" hidden="false" customHeight="false" outlineLevel="0" collapsed="false">
      <c r="A20" s="9" t="s">
        <v>82</v>
      </c>
      <c r="B20" s="10" t="s">
        <v>83</v>
      </c>
      <c r="C20" s="9" t="n">
        <v>60</v>
      </c>
      <c r="D20" s="11" t="n">
        <v>0.94</v>
      </c>
      <c r="E20" s="11" t="n">
        <v>3.06</v>
      </c>
      <c r="F20" s="11" t="n">
        <v>5.66</v>
      </c>
      <c r="G20" s="11" t="n">
        <v>55.26</v>
      </c>
    </row>
    <row r="21" customFormat="false" ht="12.75" hidden="false" customHeight="true" outlineLevel="0" collapsed="false">
      <c r="A21" s="9" t="s">
        <v>84</v>
      </c>
      <c r="B21" s="10" t="s">
        <v>85</v>
      </c>
      <c r="C21" s="9" t="n">
        <v>205</v>
      </c>
      <c r="D21" s="11" t="n">
        <v>3.09</v>
      </c>
      <c r="E21" s="11" t="n">
        <v>4.61</v>
      </c>
      <c r="F21" s="11" t="n">
        <v>12.54</v>
      </c>
      <c r="G21" s="11" t="n">
        <v>107.36</v>
      </c>
    </row>
    <row r="22" customFormat="false" ht="12.75" hidden="false" customHeight="false" outlineLevel="0" collapsed="false">
      <c r="A22" s="9" t="s">
        <v>46</v>
      </c>
      <c r="B22" s="10" t="s">
        <v>47</v>
      </c>
      <c r="C22" s="9" t="n">
        <v>200</v>
      </c>
      <c r="D22" s="11" t="n">
        <v>17.73</v>
      </c>
      <c r="E22" s="11" t="n">
        <v>17.16</v>
      </c>
      <c r="F22" s="11" t="n">
        <v>42.9</v>
      </c>
      <c r="G22" s="11" t="n">
        <v>409.09</v>
      </c>
    </row>
    <row r="23" customFormat="false" ht="12.75" hidden="false" customHeight="false" outlineLevel="0" collapsed="false">
      <c r="A23" s="9" t="s">
        <v>35</v>
      </c>
      <c r="B23" s="10" t="s">
        <v>36</v>
      </c>
      <c r="C23" s="9" t="n">
        <v>200</v>
      </c>
      <c r="D23" s="11" t="n">
        <v>0</v>
      </c>
      <c r="E23" s="11" t="n">
        <v>0</v>
      </c>
      <c r="F23" s="11" t="n">
        <v>10</v>
      </c>
      <c r="G23" s="11" t="n">
        <v>42</v>
      </c>
    </row>
    <row r="24" customFormat="false" ht="12.75" hidden="false" customHeight="false" outlineLevel="0" collapsed="false">
      <c r="A24" s="9"/>
      <c r="B24" s="10" t="s">
        <v>28</v>
      </c>
      <c r="C24" s="9" t="n">
        <v>40</v>
      </c>
      <c r="D24" s="11" t="n">
        <v>3.04</v>
      </c>
      <c r="E24" s="11" t="n">
        <v>0.32</v>
      </c>
      <c r="F24" s="11" t="n">
        <v>19.68</v>
      </c>
      <c r="G24" s="11" t="n">
        <v>98.34</v>
      </c>
    </row>
    <row r="25" customFormat="false" ht="12.75" hidden="false" customHeight="true" outlineLevel="0" collapsed="false">
      <c r="A25" s="13" t="s">
        <v>29</v>
      </c>
      <c r="B25" s="13"/>
      <c r="C25" s="6" t="n">
        <f aca="false">SUM(C20:C24)</f>
        <v>705</v>
      </c>
      <c r="D25" s="11"/>
      <c r="E25" s="11"/>
      <c r="F25" s="11"/>
      <c r="G25" s="11"/>
    </row>
    <row r="26" customFormat="false" ht="27.95" hidden="false" customHeight="true" outlineLevel="0" collapsed="false">
      <c r="A26" s="7" t="s">
        <v>30</v>
      </c>
      <c r="B26" s="7"/>
      <c r="C26" s="7"/>
      <c r="D26" s="8" t="n">
        <f aca="false">D27+D33</f>
        <v>38.59</v>
      </c>
      <c r="E26" s="8" t="n">
        <f aca="false">E27+E33</f>
        <v>48.87</v>
      </c>
      <c r="F26" s="8" t="n">
        <f aca="false">F27+F33</f>
        <v>159.05</v>
      </c>
      <c r="G26" s="8" t="n">
        <f aca="false">G27+G33</f>
        <v>1270.69</v>
      </c>
    </row>
    <row r="27" customFormat="false" ht="12.75" hidden="false" customHeight="true" outlineLevel="0" collapsed="false">
      <c r="A27" s="6"/>
      <c r="B27" s="7" t="s">
        <v>18</v>
      </c>
      <c r="C27" s="7"/>
      <c r="D27" s="8" t="n">
        <f aca="false">D28+D29+D30+D31</f>
        <v>12.62</v>
      </c>
      <c r="E27" s="8" t="n">
        <f aca="false">E28+E29+E30+E31</f>
        <v>16.91</v>
      </c>
      <c r="F27" s="8" t="n">
        <f aca="false">F28+F29+F30+F31</f>
        <v>71.04</v>
      </c>
      <c r="G27" s="8" t="n">
        <f aca="false">G28+G29+G30+G31</f>
        <v>503.65</v>
      </c>
    </row>
    <row r="28" customFormat="false" ht="12.75" hidden="false" customHeight="false" outlineLevel="0" collapsed="false">
      <c r="A28" s="9" t="s">
        <v>31</v>
      </c>
      <c r="B28" s="10" t="s">
        <v>78</v>
      </c>
      <c r="C28" s="9" t="n">
        <v>115</v>
      </c>
      <c r="D28" s="11" t="n">
        <v>6.32</v>
      </c>
      <c r="E28" s="11" t="n">
        <v>8.79</v>
      </c>
      <c r="F28" s="11" t="n">
        <v>19.37</v>
      </c>
      <c r="G28" s="11" t="n">
        <v>187.01</v>
      </c>
    </row>
    <row r="29" customFormat="false" ht="12.75" hidden="false" customHeight="false" outlineLevel="0" collapsed="false">
      <c r="A29" s="9" t="s">
        <v>33</v>
      </c>
      <c r="B29" s="10" t="s">
        <v>34</v>
      </c>
      <c r="C29" s="9" t="n">
        <v>150</v>
      </c>
      <c r="D29" s="11" t="n">
        <v>3.26</v>
      </c>
      <c r="E29" s="11" t="n">
        <v>7.8</v>
      </c>
      <c r="F29" s="11" t="n">
        <v>21.99</v>
      </c>
      <c r="G29" s="11" t="n">
        <v>176.3</v>
      </c>
    </row>
    <row r="30" customFormat="false" ht="12.75" hidden="false" customHeight="false" outlineLevel="0" collapsed="false">
      <c r="A30" s="9" t="s">
        <v>35</v>
      </c>
      <c r="B30" s="10" t="s">
        <v>36</v>
      </c>
      <c r="C30" s="9" t="n">
        <v>200</v>
      </c>
      <c r="D30" s="11" t="n">
        <v>0</v>
      </c>
      <c r="E30" s="11" t="n">
        <v>0</v>
      </c>
      <c r="F30" s="11" t="n">
        <v>10</v>
      </c>
      <c r="G30" s="11" t="n">
        <v>42</v>
      </c>
    </row>
    <row r="31" customFormat="false" ht="12.75" hidden="false" customHeight="false" outlineLevel="0" collapsed="false">
      <c r="A31" s="9"/>
      <c r="B31" s="10" t="s">
        <v>28</v>
      </c>
      <c r="C31" s="9" t="n">
        <v>40</v>
      </c>
      <c r="D31" s="11" t="n">
        <v>3.04</v>
      </c>
      <c r="E31" s="11" t="n">
        <v>0.32</v>
      </c>
      <c r="F31" s="11" t="n">
        <v>19.68</v>
      </c>
      <c r="G31" s="11" t="n">
        <v>98.34</v>
      </c>
    </row>
    <row r="32" customFormat="false" ht="12.75" hidden="false" customHeight="true" outlineLevel="0" collapsed="false">
      <c r="A32" s="13" t="s">
        <v>29</v>
      </c>
      <c r="B32" s="13"/>
      <c r="C32" s="6" t="n">
        <f aca="false">SUM(C28:C31)</f>
        <v>505</v>
      </c>
      <c r="D32" s="11"/>
      <c r="E32" s="11"/>
      <c r="F32" s="11"/>
      <c r="G32" s="11"/>
    </row>
    <row r="33" customFormat="false" ht="12.75" hidden="false" customHeight="true" outlineLevel="0" collapsed="false">
      <c r="A33" s="9"/>
      <c r="B33" s="7" t="s">
        <v>81</v>
      </c>
      <c r="C33" s="7"/>
      <c r="D33" s="8" t="n">
        <f aca="false">D34+D35+D36+D37+D38+D39</f>
        <v>25.97</v>
      </c>
      <c r="E33" s="8" t="n">
        <f aca="false">E34+E35+E36+E37+E38+E39</f>
        <v>31.96</v>
      </c>
      <c r="F33" s="8" t="n">
        <f aca="false">F34+F35+F36+F37+F38+F39</f>
        <v>88.01</v>
      </c>
      <c r="G33" s="8" t="n">
        <f aca="false">G34+G35+G36+G37+G38+G39</f>
        <v>767.04</v>
      </c>
    </row>
    <row r="34" customFormat="false" ht="12.75" hidden="false" customHeight="false" outlineLevel="0" collapsed="false">
      <c r="A34" s="9" t="s">
        <v>86</v>
      </c>
      <c r="B34" s="10" t="s">
        <v>87</v>
      </c>
      <c r="C34" s="9" t="n">
        <v>60</v>
      </c>
      <c r="D34" s="11" t="n">
        <v>0.84</v>
      </c>
      <c r="E34" s="11" t="n">
        <v>3.06</v>
      </c>
      <c r="F34" s="11" t="n">
        <v>6.83</v>
      </c>
      <c r="G34" s="11" t="n">
        <v>59.75</v>
      </c>
    </row>
    <row r="35" customFormat="false" ht="25.5" hidden="false" customHeight="false" outlineLevel="0" collapsed="false">
      <c r="A35" s="9" t="s">
        <v>88</v>
      </c>
      <c r="B35" s="10" t="s">
        <v>89</v>
      </c>
      <c r="C35" s="9" t="n">
        <v>205</v>
      </c>
      <c r="D35" s="11" t="n">
        <v>2.57</v>
      </c>
      <c r="E35" s="11" t="n">
        <v>9.24</v>
      </c>
      <c r="F35" s="11" t="n">
        <v>18.04</v>
      </c>
      <c r="G35" s="11" t="n">
        <v>169.72</v>
      </c>
    </row>
    <row r="36" customFormat="false" ht="12.75" hidden="false" customHeight="false" outlineLevel="0" collapsed="false">
      <c r="A36" s="9" t="s">
        <v>90</v>
      </c>
      <c r="B36" s="10" t="s">
        <v>91</v>
      </c>
      <c r="C36" s="9" t="n">
        <v>100</v>
      </c>
      <c r="D36" s="11" t="n">
        <v>14.25</v>
      </c>
      <c r="E36" s="11" t="n">
        <v>16.66</v>
      </c>
      <c r="F36" s="11" t="n">
        <v>5.27</v>
      </c>
      <c r="G36" s="11" t="n">
        <v>232</v>
      </c>
    </row>
    <row r="37" customFormat="false" ht="12.75" hidden="false" customHeight="false" outlineLevel="0" collapsed="false">
      <c r="A37" s="9" t="s">
        <v>51</v>
      </c>
      <c r="B37" s="10" t="s">
        <v>52</v>
      </c>
      <c r="C37" s="9" t="n">
        <v>150</v>
      </c>
      <c r="D37" s="11" t="n">
        <v>5.64</v>
      </c>
      <c r="E37" s="11" t="n">
        <v>2.84</v>
      </c>
      <c r="F37" s="11" t="n">
        <v>36</v>
      </c>
      <c r="G37" s="11" t="n">
        <v>201</v>
      </c>
    </row>
    <row r="38" customFormat="false" ht="12.75" hidden="false" customHeight="false" outlineLevel="0" collapsed="false">
      <c r="A38" s="9" t="s">
        <v>42</v>
      </c>
      <c r="B38" s="10" t="s">
        <v>70</v>
      </c>
      <c r="C38" s="9" t="n">
        <v>200</v>
      </c>
      <c r="D38" s="11" t="n">
        <v>1.15</v>
      </c>
      <c r="E38" s="11"/>
      <c r="F38" s="11" t="n">
        <v>12.03</v>
      </c>
      <c r="G38" s="11" t="n">
        <v>55.4</v>
      </c>
    </row>
    <row r="39" customFormat="false" ht="12.75" hidden="false" customHeight="false" outlineLevel="0" collapsed="false">
      <c r="A39" s="9"/>
      <c r="B39" s="10" t="s">
        <v>28</v>
      </c>
      <c r="C39" s="9" t="n">
        <v>20</v>
      </c>
      <c r="D39" s="11" t="n">
        <v>1.52</v>
      </c>
      <c r="E39" s="11" t="n">
        <v>0.16</v>
      </c>
      <c r="F39" s="11" t="n">
        <v>9.84</v>
      </c>
      <c r="G39" s="11" t="n">
        <v>49.17</v>
      </c>
    </row>
    <row r="40" customFormat="false" ht="12.75" hidden="false" customHeight="true" outlineLevel="0" collapsed="false">
      <c r="A40" s="13" t="s">
        <v>29</v>
      </c>
      <c r="B40" s="13"/>
      <c r="C40" s="6" t="n">
        <f aca="false">SUM(C34:C39)</f>
        <v>735</v>
      </c>
      <c r="D40" s="11"/>
      <c r="E40" s="11"/>
      <c r="F40" s="11"/>
      <c r="G40" s="11"/>
    </row>
    <row r="41" customFormat="false" ht="27.95" hidden="false" customHeight="true" outlineLevel="0" collapsed="false">
      <c r="A41" s="7" t="s">
        <v>37</v>
      </c>
      <c r="B41" s="7"/>
      <c r="C41" s="7"/>
      <c r="D41" s="8" t="n">
        <f aca="false">D42+D48</f>
        <v>44.49</v>
      </c>
      <c r="E41" s="8" t="n">
        <f aca="false">E42+E48</f>
        <v>31.55</v>
      </c>
      <c r="F41" s="8" t="n">
        <f aca="false">F42+F48</f>
        <v>181.27</v>
      </c>
      <c r="G41" s="8" t="n">
        <f aca="false">G42+G48</f>
        <v>1233.86</v>
      </c>
    </row>
    <row r="42" customFormat="false" ht="12.75" hidden="false" customHeight="true" outlineLevel="0" collapsed="false">
      <c r="A42" s="6"/>
      <c r="B42" s="7" t="s">
        <v>18</v>
      </c>
      <c r="C42" s="7"/>
      <c r="D42" s="8" t="n">
        <f aca="false">D43+D44+D45+D46</f>
        <v>19.03</v>
      </c>
      <c r="E42" s="8" t="n">
        <f aca="false">E43+E44+E45+E46</f>
        <v>6.46</v>
      </c>
      <c r="F42" s="8" t="n">
        <f aca="false">F43+F44+F45+F46</f>
        <v>83.52</v>
      </c>
      <c r="G42" s="8" t="n">
        <f aca="false">G43+G44+G45+G46</f>
        <v>489.34</v>
      </c>
    </row>
    <row r="43" customFormat="false" ht="12.75" hidden="false" customHeight="false" outlineLevel="0" collapsed="false">
      <c r="A43" s="9" t="s">
        <v>38</v>
      </c>
      <c r="B43" s="10" t="s">
        <v>39</v>
      </c>
      <c r="C43" s="9" t="n">
        <v>60</v>
      </c>
      <c r="D43" s="11" t="n">
        <v>0.9</v>
      </c>
      <c r="E43" s="11" t="n">
        <v>0.06</v>
      </c>
      <c r="F43" s="11" t="n">
        <v>5.28</v>
      </c>
      <c r="G43" s="11" t="n">
        <v>27</v>
      </c>
    </row>
    <row r="44" customFormat="false" ht="12.75" hidden="false" customHeight="false" outlineLevel="0" collapsed="false">
      <c r="A44" s="9" t="s">
        <v>40</v>
      </c>
      <c r="B44" s="10" t="s">
        <v>41</v>
      </c>
      <c r="C44" s="9" t="n">
        <v>200</v>
      </c>
      <c r="D44" s="11" t="n">
        <v>14.09</v>
      </c>
      <c r="E44" s="11" t="n">
        <v>5.98</v>
      </c>
      <c r="F44" s="11" t="n">
        <v>27.56</v>
      </c>
      <c r="G44" s="11" t="n">
        <v>229</v>
      </c>
    </row>
    <row r="45" customFormat="false" ht="21.75" hidden="false" customHeight="true" outlineLevel="0" collapsed="false">
      <c r="A45" s="9" t="s">
        <v>42</v>
      </c>
      <c r="B45" s="10" t="s">
        <v>43</v>
      </c>
      <c r="C45" s="9" t="n">
        <v>200</v>
      </c>
      <c r="D45" s="11" t="n">
        <v>1</v>
      </c>
      <c r="E45" s="11" t="n">
        <v>0.1</v>
      </c>
      <c r="F45" s="11" t="n">
        <v>31</v>
      </c>
      <c r="G45" s="11" t="n">
        <v>135</v>
      </c>
    </row>
    <row r="46" customFormat="false" ht="12.75" hidden="false" customHeight="false" outlineLevel="0" collapsed="false">
      <c r="A46" s="9"/>
      <c r="B46" s="10" t="s">
        <v>28</v>
      </c>
      <c r="C46" s="9" t="n">
        <v>40</v>
      </c>
      <c r="D46" s="11" t="n">
        <v>3.04</v>
      </c>
      <c r="E46" s="11" t="n">
        <v>0.32</v>
      </c>
      <c r="F46" s="11" t="n">
        <v>19.68</v>
      </c>
      <c r="G46" s="11" t="n">
        <v>98.34</v>
      </c>
    </row>
    <row r="47" customFormat="false" ht="12.75" hidden="false" customHeight="true" outlineLevel="0" collapsed="false">
      <c r="A47" s="13" t="s">
        <v>29</v>
      </c>
      <c r="B47" s="13"/>
      <c r="C47" s="6" t="n">
        <f aca="false">SUM(C43:C46)</f>
        <v>500</v>
      </c>
      <c r="D47" s="11"/>
      <c r="E47" s="11"/>
      <c r="F47" s="11"/>
      <c r="G47" s="11"/>
    </row>
    <row r="48" customFormat="false" ht="12.75" hidden="false" customHeight="true" outlineLevel="0" collapsed="false">
      <c r="A48" s="9"/>
      <c r="B48" s="7" t="s">
        <v>81</v>
      </c>
      <c r="C48" s="7"/>
      <c r="D48" s="8" t="n">
        <f aca="false">D49+D50+D51+D52+D53+D54</f>
        <v>25.46</v>
      </c>
      <c r="E48" s="8" t="n">
        <f aca="false">E49+E50+E51+E52+E53+E54</f>
        <v>25.09</v>
      </c>
      <c r="F48" s="8" t="n">
        <f aca="false">F49+F50+F51+F52+F53+F54</f>
        <v>97.75</v>
      </c>
      <c r="G48" s="8" t="n">
        <f aca="false">G49+G50+G51+G52+G53+G54</f>
        <v>744.52</v>
      </c>
    </row>
    <row r="49" customFormat="false" ht="12.75" hidden="false" customHeight="false" outlineLevel="0" collapsed="false">
      <c r="A49" s="9" t="s">
        <v>92</v>
      </c>
      <c r="B49" s="10" t="s">
        <v>93</v>
      </c>
      <c r="C49" s="9" t="n">
        <v>60</v>
      </c>
      <c r="D49" s="11" t="n">
        <v>1.21</v>
      </c>
      <c r="E49" s="11" t="n">
        <v>6.2</v>
      </c>
      <c r="F49" s="11" t="n">
        <v>12.33</v>
      </c>
      <c r="G49" s="11" t="n">
        <v>113</v>
      </c>
    </row>
    <row r="50" customFormat="false" ht="25.5" hidden="false" customHeight="false" outlineLevel="0" collapsed="false">
      <c r="A50" s="9" t="s">
        <v>94</v>
      </c>
      <c r="B50" s="10" t="s">
        <v>95</v>
      </c>
      <c r="C50" s="9" t="n">
        <v>210</v>
      </c>
      <c r="D50" s="11" t="n">
        <v>2.64</v>
      </c>
      <c r="E50" s="11" t="n">
        <v>3.56</v>
      </c>
      <c r="F50" s="11" t="n">
        <v>11.76</v>
      </c>
      <c r="G50" s="11" t="n">
        <v>93</v>
      </c>
    </row>
    <row r="51" customFormat="false" ht="12.75" hidden="false" customHeight="false" outlineLevel="0" collapsed="false">
      <c r="A51" s="9" t="s">
        <v>96</v>
      </c>
      <c r="B51" s="10" t="s">
        <v>97</v>
      </c>
      <c r="C51" s="9" t="n">
        <v>90</v>
      </c>
      <c r="D51" s="11" t="n">
        <v>11.84</v>
      </c>
      <c r="E51" s="11" t="n">
        <v>10.06</v>
      </c>
      <c r="F51" s="11" t="n">
        <v>16.03</v>
      </c>
      <c r="G51" s="11" t="n">
        <v>208</v>
      </c>
    </row>
    <row r="52" customFormat="false" ht="12.75" hidden="false" customHeight="false" outlineLevel="0" collapsed="false">
      <c r="A52" s="9" t="s">
        <v>98</v>
      </c>
      <c r="B52" s="10" t="s">
        <v>99</v>
      </c>
      <c r="C52" s="9" t="n">
        <v>150</v>
      </c>
      <c r="D52" s="11" t="n">
        <v>8.77</v>
      </c>
      <c r="E52" s="11" t="n">
        <v>5.19</v>
      </c>
      <c r="F52" s="11" t="n">
        <v>39.63</v>
      </c>
      <c r="G52" s="11" t="n">
        <v>250</v>
      </c>
    </row>
    <row r="53" customFormat="false" ht="12.75" hidden="false" customHeight="false" outlineLevel="0" collapsed="false">
      <c r="A53" s="9" t="s">
        <v>35</v>
      </c>
      <c r="B53" s="10" t="s">
        <v>36</v>
      </c>
      <c r="C53" s="9" t="n">
        <v>200</v>
      </c>
      <c r="D53" s="11" t="n">
        <v>0</v>
      </c>
      <c r="E53" s="11" t="n">
        <v>0</v>
      </c>
      <c r="F53" s="11" t="n">
        <v>10</v>
      </c>
      <c r="G53" s="11" t="n">
        <v>42</v>
      </c>
    </row>
    <row r="54" customFormat="false" ht="12.75" hidden="false" customHeight="false" outlineLevel="0" collapsed="false">
      <c r="A54" s="9"/>
      <c r="B54" s="10" t="s">
        <v>100</v>
      </c>
      <c r="C54" s="9" t="n">
        <v>20</v>
      </c>
      <c r="D54" s="11" t="n">
        <v>1</v>
      </c>
      <c r="E54" s="11" t="n">
        <v>0.08</v>
      </c>
      <c r="F54" s="11" t="n">
        <v>8</v>
      </c>
      <c r="G54" s="11" t="n">
        <v>38.52</v>
      </c>
    </row>
    <row r="55" customFormat="false" ht="12.75" hidden="false" customHeight="true" outlineLevel="0" collapsed="false">
      <c r="A55" s="13" t="s">
        <v>29</v>
      </c>
      <c r="B55" s="13"/>
      <c r="C55" s="6" t="n">
        <f aca="false">SUM(C49:C54)</f>
        <v>730</v>
      </c>
      <c r="D55" s="11"/>
      <c r="E55" s="11"/>
      <c r="F55" s="11"/>
      <c r="G55" s="11"/>
    </row>
    <row r="56" customFormat="false" ht="27.95" hidden="false" customHeight="true" outlineLevel="0" collapsed="false">
      <c r="A56" s="7" t="s">
        <v>44</v>
      </c>
      <c r="B56" s="7"/>
      <c r="C56" s="7"/>
      <c r="D56" s="8" t="n">
        <f aca="false">D57+D63</f>
        <v>49.58</v>
      </c>
      <c r="E56" s="8" t="n">
        <f aca="false">E57+E63</f>
        <v>49.29</v>
      </c>
      <c r="F56" s="8" t="n">
        <f aca="false">F57+F63</f>
        <v>160.68</v>
      </c>
      <c r="G56" s="8" t="n">
        <f aca="false">G57+G63</f>
        <v>1330.226</v>
      </c>
    </row>
    <row r="57" customFormat="false" ht="12.75" hidden="false" customHeight="true" outlineLevel="0" collapsed="false">
      <c r="A57" s="6"/>
      <c r="B57" s="7" t="s">
        <v>18</v>
      </c>
      <c r="C57" s="7"/>
      <c r="D57" s="8" t="n">
        <f aca="false">D58+D59+D60+D61</f>
        <v>21.17</v>
      </c>
      <c r="E57" s="8" t="n">
        <f aca="false">E58+E59+E60+E61</f>
        <v>17.48</v>
      </c>
      <c r="F57" s="8" t="n">
        <f aca="false">F58+F59+F60+F61</f>
        <v>82.38</v>
      </c>
      <c r="G57" s="8" t="n">
        <f aca="false">G58+G59+G60+G61</f>
        <v>592.27</v>
      </c>
    </row>
    <row r="58" customFormat="false" ht="12.75" hidden="false" customHeight="false" outlineLevel="0" collapsed="false">
      <c r="A58" s="9"/>
      <c r="B58" s="10" t="s">
        <v>45</v>
      </c>
      <c r="C58" s="9" t="n">
        <v>100</v>
      </c>
      <c r="D58" s="11" t="n">
        <v>0.4</v>
      </c>
      <c r="E58" s="11" t="n">
        <v>0</v>
      </c>
      <c r="F58" s="11" t="n">
        <v>9.8</v>
      </c>
      <c r="G58" s="11" t="n">
        <v>42.84</v>
      </c>
    </row>
    <row r="59" customFormat="false" ht="12.75" hidden="false" customHeight="false" outlineLevel="0" collapsed="false">
      <c r="A59" s="9" t="s">
        <v>46</v>
      </c>
      <c r="B59" s="10" t="s">
        <v>47</v>
      </c>
      <c r="C59" s="9" t="n">
        <v>200</v>
      </c>
      <c r="D59" s="11" t="n">
        <v>17.73</v>
      </c>
      <c r="E59" s="11" t="n">
        <v>17.16</v>
      </c>
      <c r="F59" s="11" t="n">
        <v>42.9</v>
      </c>
      <c r="G59" s="11" t="n">
        <v>409.09</v>
      </c>
    </row>
    <row r="60" customFormat="false" ht="12.75" hidden="false" customHeight="false" outlineLevel="0" collapsed="false">
      <c r="A60" s="9" t="s">
        <v>35</v>
      </c>
      <c r="B60" s="10" t="s">
        <v>36</v>
      </c>
      <c r="C60" s="9" t="n">
        <v>200</v>
      </c>
      <c r="D60" s="11" t="n">
        <v>0</v>
      </c>
      <c r="E60" s="11" t="n">
        <v>0</v>
      </c>
      <c r="F60" s="11" t="n">
        <v>10</v>
      </c>
      <c r="G60" s="11" t="n">
        <v>42</v>
      </c>
    </row>
    <row r="61" customFormat="false" ht="15" hidden="false" customHeight="true" outlineLevel="0" collapsed="false">
      <c r="A61" s="9"/>
      <c r="B61" s="10" t="s">
        <v>28</v>
      </c>
      <c r="C61" s="9" t="n">
        <v>40</v>
      </c>
      <c r="D61" s="11" t="n">
        <v>3.04</v>
      </c>
      <c r="E61" s="11" t="n">
        <v>0.32</v>
      </c>
      <c r="F61" s="11" t="n">
        <v>19.68</v>
      </c>
      <c r="G61" s="11" t="n">
        <v>98.34</v>
      </c>
    </row>
    <row r="62" customFormat="false" ht="15" hidden="false" customHeight="true" outlineLevel="0" collapsed="false">
      <c r="A62" s="13" t="s">
        <v>29</v>
      </c>
      <c r="B62" s="13"/>
      <c r="C62" s="6" t="n">
        <f aca="false">SUM(C58:C61)</f>
        <v>540</v>
      </c>
      <c r="D62" s="11"/>
      <c r="E62" s="11"/>
      <c r="F62" s="11"/>
      <c r="G62" s="11"/>
    </row>
    <row r="63" customFormat="false" ht="15" hidden="false" customHeight="true" outlineLevel="0" collapsed="false">
      <c r="A63" s="9"/>
      <c r="B63" s="7" t="s">
        <v>81</v>
      </c>
      <c r="C63" s="7"/>
      <c r="D63" s="8" t="n">
        <f aca="false">D64+D65+D66+D67+D68</f>
        <v>28.41</v>
      </c>
      <c r="E63" s="8" t="n">
        <f aca="false">E64+E65+E66+E67+E68</f>
        <v>31.81</v>
      </c>
      <c r="F63" s="8" t="n">
        <f aca="false">F64+F65+F66+F67+F68</f>
        <v>78.3</v>
      </c>
      <c r="G63" s="8" t="n">
        <f aca="false">G64+G65+G66+G67+G68</f>
        <v>737.956</v>
      </c>
    </row>
    <row r="64" customFormat="false" ht="15" hidden="false" customHeight="true" outlineLevel="0" collapsed="false">
      <c r="A64" s="9" t="s">
        <v>101</v>
      </c>
      <c r="B64" s="10" t="s">
        <v>102</v>
      </c>
      <c r="C64" s="9" t="n">
        <v>60</v>
      </c>
      <c r="D64" s="11" t="n">
        <v>0.88</v>
      </c>
      <c r="E64" s="11" t="n">
        <v>3.11</v>
      </c>
      <c r="F64" s="11" t="n">
        <v>5.64</v>
      </c>
      <c r="G64" s="11" t="n">
        <v>55.8</v>
      </c>
    </row>
    <row r="65" customFormat="false" ht="30" hidden="false" customHeight="true" outlineLevel="0" collapsed="false">
      <c r="A65" s="9" t="s">
        <v>103</v>
      </c>
      <c r="B65" s="10" t="s">
        <v>104</v>
      </c>
      <c r="C65" s="9" t="n">
        <v>210</v>
      </c>
      <c r="D65" s="11" t="n">
        <v>6.51</v>
      </c>
      <c r="E65" s="11" t="n">
        <v>12.28</v>
      </c>
      <c r="F65" s="11" t="n">
        <v>11.17</v>
      </c>
      <c r="G65" s="11" t="n">
        <v>187.776</v>
      </c>
    </row>
    <row r="66" customFormat="false" ht="15" hidden="false" customHeight="true" outlineLevel="0" collapsed="false">
      <c r="A66" s="9" t="s">
        <v>105</v>
      </c>
      <c r="B66" s="10" t="s">
        <v>106</v>
      </c>
      <c r="C66" s="9" t="n">
        <v>260</v>
      </c>
      <c r="D66" s="11" t="n">
        <v>18.35</v>
      </c>
      <c r="E66" s="11" t="n">
        <v>16.26</v>
      </c>
      <c r="F66" s="11" t="n">
        <v>39.62</v>
      </c>
      <c r="G66" s="11" t="n">
        <v>389.81</v>
      </c>
    </row>
    <row r="67" customFormat="false" ht="16.5" hidden="false" customHeight="true" outlineLevel="0" collapsed="false">
      <c r="A67" s="9" t="s">
        <v>42</v>
      </c>
      <c r="B67" s="10" t="s">
        <v>70</v>
      </c>
      <c r="C67" s="9" t="n">
        <v>200</v>
      </c>
      <c r="D67" s="11" t="n">
        <v>1.15</v>
      </c>
      <c r="E67" s="11"/>
      <c r="F67" s="11" t="n">
        <v>12.03</v>
      </c>
      <c r="G67" s="11" t="n">
        <v>55.4</v>
      </c>
    </row>
    <row r="68" customFormat="false" ht="15" hidden="false" customHeight="true" outlineLevel="0" collapsed="false">
      <c r="A68" s="9"/>
      <c r="B68" s="10" t="s">
        <v>28</v>
      </c>
      <c r="C68" s="9" t="n">
        <v>20</v>
      </c>
      <c r="D68" s="11" t="n">
        <v>1.52</v>
      </c>
      <c r="E68" s="11" t="n">
        <v>0.16</v>
      </c>
      <c r="F68" s="11" t="n">
        <v>9.84</v>
      </c>
      <c r="G68" s="11" t="n">
        <v>49.17</v>
      </c>
    </row>
    <row r="69" customFormat="false" ht="15" hidden="false" customHeight="true" outlineLevel="0" collapsed="false">
      <c r="A69" s="13" t="s">
        <v>29</v>
      </c>
      <c r="B69" s="13"/>
      <c r="C69" s="6" t="n">
        <f aca="false">SUM(C64:C68)</f>
        <v>750</v>
      </c>
      <c r="D69" s="11"/>
      <c r="E69" s="11"/>
      <c r="F69" s="11"/>
      <c r="G69" s="11"/>
    </row>
    <row r="70" customFormat="false" ht="27.95" hidden="false" customHeight="true" outlineLevel="0" collapsed="false">
      <c r="A70" s="7" t="s">
        <v>48</v>
      </c>
      <c r="B70" s="7"/>
      <c r="C70" s="7"/>
      <c r="D70" s="8" t="n">
        <f aca="false">D71+D77</f>
        <v>43.02</v>
      </c>
      <c r="E70" s="8" t="n">
        <f aca="false">E71+E77</f>
        <v>40.33</v>
      </c>
      <c r="F70" s="8" t="n">
        <f aca="false">F71+F77</f>
        <v>191.87</v>
      </c>
      <c r="G70" s="8" t="n">
        <f aca="false">G71+G77</f>
        <v>1350.322</v>
      </c>
    </row>
    <row r="71" customFormat="false" ht="12.75" hidden="false" customHeight="true" outlineLevel="0" collapsed="false">
      <c r="A71" s="6"/>
      <c r="B71" s="7" t="s">
        <v>18</v>
      </c>
      <c r="C71" s="7"/>
      <c r="D71" s="8" t="n">
        <f aca="false">D72+D73+D74+D75</f>
        <v>15.2</v>
      </c>
      <c r="E71" s="8" t="n">
        <f aca="false">E72+E73+E74+E75</f>
        <v>15.11</v>
      </c>
      <c r="F71" s="8" t="n">
        <f aca="false">F72+F73+F74+F75</f>
        <v>79.06</v>
      </c>
      <c r="G71" s="8" t="n">
        <f aca="false">G72+G73+G74+G75</f>
        <v>532.432</v>
      </c>
    </row>
    <row r="72" customFormat="false" ht="12.75" hidden="false" customHeight="false" outlineLevel="0" collapsed="false">
      <c r="A72" s="9" t="s">
        <v>49</v>
      </c>
      <c r="B72" s="10" t="s">
        <v>50</v>
      </c>
      <c r="C72" s="9" t="n">
        <v>105</v>
      </c>
      <c r="D72" s="11" t="n">
        <v>6.14</v>
      </c>
      <c r="E72" s="11" t="n">
        <v>11.91</v>
      </c>
      <c r="F72" s="11" t="n">
        <v>10.92</v>
      </c>
      <c r="G72" s="11" t="n">
        <v>178.84</v>
      </c>
    </row>
    <row r="73" customFormat="false" ht="12.75" hidden="false" customHeight="false" outlineLevel="0" collapsed="false">
      <c r="A73" s="9" t="s">
        <v>51</v>
      </c>
      <c r="B73" s="10" t="s">
        <v>52</v>
      </c>
      <c r="C73" s="9" t="n">
        <v>150</v>
      </c>
      <c r="D73" s="11" t="n">
        <v>5.64</v>
      </c>
      <c r="E73" s="11" t="n">
        <v>2.84</v>
      </c>
      <c r="F73" s="11" t="n">
        <v>36</v>
      </c>
      <c r="G73" s="11" t="n">
        <v>201</v>
      </c>
    </row>
    <row r="74" customFormat="false" ht="12.75" hidden="false" customHeight="false" outlineLevel="0" collapsed="false">
      <c r="A74" s="12" t="s">
        <v>35</v>
      </c>
      <c r="B74" s="10" t="s">
        <v>36</v>
      </c>
      <c r="C74" s="12" t="n">
        <v>200</v>
      </c>
      <c r="D74" s="11" t="n">
        <v>0</v>
      </c>
      <c r="E74" s="11" t="n">
        <v>0</v>
      </c>
      <c r="F74" s="11" t="n">
        <v>10</v>
      </c>
      <c r="G74" s="11" t="n">
        <v>42</v>
      </c>
    </row>
    <row r="75" customFormat="false" ht="13.5" hidden="false" customHeight="true" outlineLevel="0" collapsed="false">
      <c r="A75" s="9"/>
      <c r="B75" s="10" t="s">
        <v>28</v>
      </c>
      <c r="C75" s="9" t="n">
        <v>45</v>
      </c>
      <c r="D75" s="11" t="n">
        <v>3.42</v>
      </c>
      <c r="E75" s="11" t="n">
        <v>0.36</v>
      </c>
      <c r="F75" s="11" t="n">
        <v>22.14</v>
      </c>
      <c r="G75" s="11" t="n">
        <v>110.592</v>
      </c>
    </row>
    <row r="76" customFormat="false" ht="12.75" hidden="false" customHeight="true" outlineLevel="0" collapsed="false">
      <c r="A76" s="13" t="s">
        <v>29</v>
      </c>
      <c r="B76" s="13"/>
      <c r="C76" s="6" t="n">
        <f aca="false">SUM(C72:C75)</f>
        <v>500</v>
      </c>
      <c r="D76" s="11"/>
      <c r="E76" s="11"/>
      <c r="F76" s="11"/>
      <c r="G76" s="11"/>
    </row>
    <row r="77" customFormat="false" ht="12.75" hidden="false" customHeight="true" outlineLevel="0" collapsed="false">
      <c r="A77" s="9"/>
      <c r="B77" s="7" t="s">
        <v>81</v>
      </c>
      <c r="C77" s="7"/>
      <c r="D77" s="8" t="n">
        <f aca="false">D78+D79+D80+D81+D82+D83</f>
        <v>27.82</v>
      </c>
      <c r="E77" s="8" t="n">
        <f aca="false">E78+E79+E80+E81+E82+E83</f>
        <v>25.22</v>
      </c>
      <c r="F77" s="8" t="n">
        <f aca="false">F78+F79+F80+F81+F82+F83</f>
        <v>112.81</v>
      </c>
      <c r="G77" s="8" t="n">
        <f aca="false">G78+G79+G80+G81+G82+G83</f>
        <v>817.89</v>
      </c>
    </row>
    <row r="78" customFormat="false" ht="18.75" hidden="false" customHeight="true" outlineLevel="0" collapsed="false">
      <c r="A78" s="12" t="s">
        <v>107</v>
      </c>
      <c r="B78" s="10" t="s">
        <v>108</v>
      </c>
      <c r="C78" s="9" t="n">
        <v>60</v>
      </c>
      <c r="D78" s="11" t="n">
        <v>0.74</v>
      </c>
      <c r="E78" s="11" t="n">
        <v>0.06</v>
      </c>
      <c r="F78" s="11" t="n">
        <v>16.92</v>
      </c>
      <c r="G78" s="11" t="n">
        <v>74.71</v>
      </c>
    </row>
    <row r="79" customFormat="false" ht="14.25" hidden="false" customHeight="true" outlineLevel="0" collapsed="false">
      <c r="A79" s="9" t="s">
        <v>84</v>
      </c>
      <c r="B79" s="10" t="s">
        <v>85</v>
      </c>
      <c r="C79" s="9" t="n">
        <v>205</v>
      </c>
      <c r="D79" s="11" t="n">
        <v>3.09</v>
      </c>
      <c r="E79" s="11" t="n">
        <v>4.61</v>
      </c>
      <c r="F79" s="11" t="n">
        <v>12.54</v>
      </c>
      <c r="G79" s="11" t="n">
        <v>107.36</v>
      </c>
    </row>
    <row r="80" customFormat="false" ht="12.75" hidden="false" customHeight="false" outlineLevel="0" collapsed="false">
      <c r="A80" s="9" t="s">
        <v>109</v>
      </c>
      <c r="B80" s="10" t="s">
        <v>110</v>
      </c>
      <c r="C80" s="9" t="n">
        <v>110</v>
      </c>
      <c r="D80" s="11" t="n">
        <v>5.73</v>
      </c>
      <c r="E80" s="11" t="n">
        <v>16.34</v>
      </c>
      <c r="F80" s="11" t="n">
        <v>10.38</v>
      </c>
      <c r="G80" s="11" t="n">
        <v>215</v>
      </c>
    </row>
    <row r="81" customFormat="false" ht="12.75" hidden="false" customHeight="false" outlineLevel="0" collapsed="false">
      <c r="A81" s="9" t="s">
        <v>111</v>
      </c>
      <c r="B81" s="10" t="s">
        <v>112</v>
      </c>
      <c r="C81" s="9" t="n">
        <v>150</v>
      </c>
      <c r="D81" s="11" t="n">
        <v>16.26</v>
      </c>
      <c r="E81" s="11" t="n">
        <v>4.03</v>
      </c>
      <c r="F81" s="11" t="n">
        <v>33.97</v>
      </c>
      <c r="G81" s="11" t="n">
        <v>247.3</v>
      </c>
    </row>
    <row r="82" customFormat="false" ht="29.25" hidden="false" customHeight="true" outlineLevel="0" collapsed="false">
      <c r="A82" s="9" t="s">
        <v>42</v>
      </c>
      <c r="B82" s="10" t="s">
        <v>43</v>
      </c>
      <c r="C82" s="9" t="n">
        <v>200</v>
      </c>
      <c r="D82" s="11" t="n">
        <v>1</v>
      </c>
      <c r="E82" s="11" t="n">
        <v>0.1</v>
      </c>
      <c r="F82" s="11" t="n">
        <v>31</v>
      </c>
      <c r="G82" s="11" t="n">
        <v>135</v>
      </c>
    </row>
    <row r="83" customFormat="false" ht="12.75" hidden="false" customHeight="false" outlineLevel="0" collapsed="false">
      <c r="A83" s="9"/>
      <c r="B83" s="10" t="s">
        <v>100</v>
      </c>
      <c r="C83" s="9" t="n">
        <v>20</v>
      </c>
      <c r="D83" s="11" t="n">
        <v>1</v>
      </c>
      <c r="E83" s="11" t="n">
        <v>0.08</v>
      </c>
      <c r="F83" s="11" t="n">
        <v>8</v>
      </c>
      <c r="G83" s="11" t="n">
        <v>38.52</v>
      </c>
    </row>
    <row r="84" customFormat="false" ht="12.75" hidden="false" customHeight="true" outlineLevel="0" collapsed="false">
      <c r="A84" s="13" t="s">
        <v>29</v>
      </c>
      <c r="B84" s="13"/>
      <c r="C84" s="6" t="n">
        <f aca="false">SUM(C78:C83)</f>
        <v>745</v>
      </c>
      <c r="D84" s="11"/>
      <c r="E84" s="11"/>
      <c r="F84" s="11"/>
      <c r="G84" s="11"/>
    </row>
    <row r="85" customFormat="false" ht="27.95" hidden="false" customHeight="true" outlineLevel="0" collapsed="false">
      <c r="A85" s="7" t="s">
        <v>53</v>
      </c>
      <c r="B85" s="7"/>
      <c r="C85" s="7"/>
      <c r="D85" s="8" t="n">
        <f aca="false">D86+D92</f>
        <v>36.35</v>
      </c>
      <c r="E85" s="8" t="n">
        <f aca="false">E86+E92</f>
        <v>47.66</v>
      </c>
      <c r="F85" s="8" t="n">
        <f aca="false">F86+F92</f>
        <v>178.22</v>
      </c>
      <c r="G85" s="8" t="n">
        <f aca="false">G86+G92</f>
        <v>1330.814</v>
      </c>
    </row>
    <row r="86" customFormat="false" ht="12.75" hidden="false" customHeight="true" outlineLevel="0" collapsed="false">
      <c r="A86" s="6"/>
      <c r="B86" s="7" t="s">
        <v>18</v>
      </c>
      <c r="C86" s="7"/>
      <c r="D86" s="8" t="n">
        <f aca="false">D87+D88+D89+D90</f>
        <v>11.64</v>
      </c>
      <c r="E86" s="8" t="n">
        <f aca="false">E87+E88+E89+E90</f>
        <v>10.52</v>
      </c>
      <c r="F86" s="8" t="n">
        <f aca="false">F87+F88+F89+F90</f>
        <v>89.5</v>
      </c>
      <c r="G86" s="8" t="n">
        <f aca="false">G87+G88+G89+G90</f>
        <v>519.5</v>
      </c>
    </row>
    <row r="87" customFormat="false" ht="12.75" hidden="false" customHeight="false" outlineLevel="0" collapsed="false">
      <c r="A87" s="9"/>
      <c r="B87" s="10" t="s">
        <v>45</v>
      </c>
      <c r="C87" s="9" t="n">
        <v>100</v>
      </c>
      <c r="D87" s="11" t="n">
        <v>0.4</v>
      </c>
      <c r="E87" s="11" t="n">
        <v>0</v>
      </c>
      <c r="F87" s="11" t="n">
        <v>9.8</v>
      </c>
      <c r="G87" s="11" t="n">
        <v>42.84</v>
      </c>
    </row>
    <row r="88" customFormat="false" ht="24.75" hidden="false" customHeight="true" outlineLevel="0" collapsed="false">
      <c r="A88" s="9" t="s">
        <v>23</v>
      </c>
      <c r="B88" s="10" t="s">
        <v>54</v>
      </c>
      <c r="C88" s="9" t="n">
        <v>203</v>
      </c>
      <c r="D88" s="11" t="n">
        <v>8.2</v>
      </c>
      <c r="E88" s="11" t="n">
        <v>10.2</v>
      </c>
      <c r="F88" s="11" t="n">
        <v>50.02</v>
      </c>
      <c r="G88" s="11" t="n">
        <v>336.32</v>
      </c>
      <c r="H88" s="14"/>
      <c r="I88" s="14"/>
      <c r="J88" s="14"/>
      <c r="K88" s="14"/>
      <c r="L88" s="14"/>
      <c r="M88" s="15"/>
      <c r="N88" s="14"/>
      <c r="O88" s="14"/>
      <c r="P88" s="14"/>
      <c r="Q88" s="14"/>
      <c r="R88" s="14"/>
    </row>
    <row r="89" customFormat="false" ht="12" hidden="false" customHeight="true" outlineLevel="0" collapsed="false">
      <c r="A89" s="9" t="s">
        <v>35</v>
      </c>
      <c r="B89" s="10" t="s">
        <v>36</v>
      </c>
      <c r="C89" s="9" t="n">
        <v>200</v>
      </c>
      <c r="D89" s="11" t="n">
        <v>0</v>
      </c>
      <c r="E89" s="11" t="n">
        <v>0</v>
      </c>
      <c r="F89" s="11" t="n">
        <v>10</v>
      </c>
      <c r="G89" s="11" t="n">
        <v>42</v>
      </c>
      <c r="H89" s="14"/>
      <c r="I89" s="14"/>
      <c r="J89" s="14"/>
      <c r="K89" s="14"/>
      <c r="L89" s="14"/>
      <c r="M89" s="15"/>
      <c r="N89" s="14"/>
      <c r="O89" s="14"/>
      <c r="P89" s="14"/>
      <c r="Q89" s="14"/>
      <c r="R89" s="14"/>
    </row>
    <row r="90" customFormat="false" ht="12.75" hidden="false" customHeight="false" outlineLevel="0" collapsed="false">
      <c r="A90" s="12"/>
      <c r="B90" s="10" t="s">
        <v>28</v>
      </c>
      <c r="C90" s="9" t="n">
        <v>40</v>
      </c>
      <c r="D90" s="11" t="n">
        <v>3.04</v>
      </c>
      <c r="E90" s="11" t="n">
        <v>0.32</v>
      </c>
      <c r="F90" s="11" t="n">
        <v>19.68</v>
      </c>
      <c r="G90" s="11" t="n">
        <v>98.34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customFormat="false" ht="12.75" hidden="false" customHeight="true" outlineLevel="0" collapsed="false">
      <c r="A91" s="13" t="s">
        <v>29</v>
      </c>
      <c r="B91" s="13"/>
      <c r="C91" s="6" t="n">
        <f aca="false">SUM(C87:C90)</f>
        <v>543</v>
      </c>
      <c r="D91" s="11"/>
      <c r="E91" s="11"/>
      <c r="F91" s="11"/>
      <c r="G91" s="11"/>
    </row>
    <row r="92" customFormat="false" ht="12.75" hidden="false" customHeight="true" outlineLevel="0" collapsed="false">
      <c r="A92" s="9"/>
      <c r="B92" s="7" t="s">
        <v>81</v>
      </c>
      <c r="C92" s="7"/>
      <c r="D92" s="8" t="n">
        <f aca="false">D93+D94+D95+D96+D97</f>
        <v>24.71</v>
      </c>
      <c r="E92" s="8" t="n">
        <f aca="false">E93+E94+E95+E96+E97</f>
        <v>37.14</v>
      </c>
      <c r="F92" s="8" t="n">
        <f aca="false">F93+F94+F95+F96+F97</f>
        <v>88.72</v>
      </c>
      <c r="G92" s="8" t="n">
        <f aca="false">G93+G94+G95+G96+G97</f>
        <v>811.314</v>
      </c>
    </row>
    <row r="93" customFormat="false" ht="16.5" hidden="false" customHeight="true" outlineLevel="0" collapsed="false">
      <c r="A93" s="9" t="s">
        <v>92</v>
      </c>
      <c r="B93" s="10" t="s">
        <v>93</v>
      </c>
      <c r="C93" s="9" t="n">
        <v>60</v>
      </c>
      <c r="D93" s="11" t="n">
        <v>1.21</v>
      </c>
      <c r="E93" s="11" t="n">
        <v>6.2</v>
      </c>
      <c r="F93" s="11" t="n">
        <v>12.33</v>
      </c>
      <c r="G93" s="11" t="n">
        <v>113</v>
      </c>
      <c r="H93" s="37"/>
      <c r="I93" s="2"/>
      <c r="J93" s="1"/>
      <c r="K93" s="1"/>
      <c r="L93" s="1"/>
      <c r="M93" s="1"/>
      <c r="N93" s="1"/>
      <c r="O93" s="14"/>
      <c r="P93" s="14"/>
      <c r="Q93" s="14"/>
      <c r="R93" s="14"/>
      <c r="S93" s="14"/>
      <c r="T93" s="14"/>
      <c r="U93" s="14"/>
    </row>
    <row r="94" customFormat="false" ht="28.5" hidden="false" customHeight="true" outlineLevel="0" collapsed="false">
      <c r="A94" s="9" t="s">
        <v>113</v>
      </c>
      <c r="B94" s="10" t="s">
        <v>114</v>
      </c>
      <c r="C94" s="9" t="n">
        <v>205</v>
      </c>
      <c r="D94" s="11" t="n">
        <v>3.96</v>
      </c>
      <c r="E94" s="11" t="n">
        <v>4.86</v>
      </c>
      <c r="F94" s="11" t="n">
        <v>17.01</v>
      </c>
      <c r="G94" s="11" t="n">
        <v>131.814</v>
      </c>
      <c r="H94" s="38"/>
      <c r="I94" s="31"/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4"/>
    </row>
    <row r="95" customFormat="false" ht="12.75" hidden="false" customHeight="false" outlineLevel="0" collapsed="false">
      <c r="A95" s="9" t="s">
        <v>115</v>
      </c>
      <c r="B95" s="10" t="s">
        <v>116</v>
      </c>
      <c r="C95" s="9" t="n">
        <v>200</v>
      </c>
      <c r="D95" s="11" t="n">
        <v>16.48</v>
      </c>
      <c r="E95" s="11" t="n">
        <v>25.76</v>
      </c>
      <c r="F95" s="11" t="n">
        <v>10.39</v>
      </c>
      <c r="G95" s="11" t="n">
        <v>345</v>
      </c>
    </row>
    <row r="96" customFormat="false" ht="25.5" hidden="false" customHeight="false" outlineLevel="0" collapsed="false">
      <c r="A96" s="9" t="s">
        <v>117</v>
      </c>
      <c r="B96" s="10" t="s">
        <v>118</v>
      </c>
      <c r="C96" s="9" t="n">
        <v>200</v>
      </c>
      <c r="D96" s="11" t="n">
        <v>0.02</v>
      </c>
      <c r="E96" s="11"/>
      <c r="F96" s="11" t="n">
        <v>29.31</v>
      </c>
      <c r="G96" s="11" t="n">
        <v>123.16</v>
      </c>
      <c r="H96" s="1"/>
      <c r="I96" s="1"/>
      <c r="J96" s="1"/>
      <c r="K96" s="1"/>
      <c r="L96" s="1"/>
      <c r="M96" s="1"/>
      <c r="N96" s="16"/>
      <c r="O96" s="1"/>
      <c r="P96" s="1"/>
      <c r="Q96" s="1"/>
      <c r="R96" s="1"/>
      <c r="S96" s="1"/>
    </row>
    <row r="97" customFormat="false" ht="12.75" hidden="false" customHeight="false" outlineLevel="0" collapsed="false">
      <c r="A97" s="9"/>
      <c r="B97" s="10" t="s">
        <v>28</v>
      </c>
      <c r="C97" s="9" t="n">
        <v>40</v>
      </c>
      <c r="D97" s="11" t="n">
        <v>3.04</v>
      </c>
      <c r="E97" s="11" t="n">
        <v>0.32</v>
      </c>
      <c r="F97" s="11" t="n">
        <v>19.68</v>
      </c>
      <c r="G97" s="11" t="n">
        <v>98.34</v>
      </c>
    </row>
    <row r="98" customFormat="false" ht="12.75" hidden="false" customHeight="true" outlineLevel="0" collapsed="false">
      <c r="A98" s="13" t="s">
        <v>29</v>
      </c>
      <c r="B98" s="13"/>
      <c r="C98" s="6" t="n">
        <f aca="false">SUM(C93:C97)</f>
        <v>705</v>
      </c>
      <c r="D98" s="11"/>
      <c r="E98" s="11"/>
      <c r="F98" s="11"/>
      <c r="G98" s="11"/>
    </row>
    <row r="99" customFormat="false" ht="27.95" hidden="false" customHeight="true" outlineLevel="0" collapsed="false">
      <c r="A99" s="7" t="s">
        <v>55</v>
      </c>
      <c r="B99" s="7"/>
      <c r="C99" s="7"/>
      <c r="D99" s="8" t="n">
        <f aca="false">D100+D107</f>
        <v>39.83</v>
      </c>
      <c r="E99" s="8" t="n">
        <f aca="false">E100+E107</f>
        <v>46.42</v>
      </c>
      <c r="F99" s="8" t="n">
        <f aca="false">F100+F107</f>
        <v>171.92</v>
      </c>
      <c r="G99" s="8" t="n">
        <f aca="false">G100+G107</f>
        <v>1328.424</v>
      </c>
    </row>
    <row r="100" customFormat="false" ht="12.75" hidden="false" customHeight="true" outlineLevel="0" collapsed="false">
      <c r="A100" s="6"/>
      <c r="B100" s="7" t="s">
        <v>18</v>
      </c>
      <c r="C100" s="7"/>
      <c r="D100" s="8" t="n">
        <f aca="false">D101+D102+D103+D104+D105</f>
        <v>20.17</v>
      </c>
      <c r="E100" s="8" t="n">
        <f aca="false">E101+E102+E103+E104+E105</f>
        <v>13.51</v>
      </c>
      <c r="F100" s="8" t="n">
        <f aca="false">F101+F102+F103+F104+F105</f>
        <v>95.15</v>
      </c>
      <c r="G100" s="8" t="n">
        <f aca="false">G101+G102+G103+G104+G105</f>
        <v>606.516</v>
      </c>
    </row>
    <row r="101" customFormat="false" ht="17.25" hidden="false" customHeight="true" outlineLevel="0" collapsed="false">
      <c r="A101" s="9" t="s">
        <v>56</v>
      </c>
      <c r="B101" s="10" t="s">
        <v>57</v>
      </c>
      <c r="C101" s="9" t="n">
        <v>90</v>
      </c>
      <c r="D101" s="11" t="n">
        <v>11.81</v>
      </c>
      <c r="E101" s="11" t="n">
        <v>8.11</v>
      </c>
      <c r="F101" s="11" t="n">
        <v>4.87</v>
      </c>
      <c r="G101" s="11" t="n">
        <v>143.05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customFormat="false" ht="13.5" hidden="false" customHeight="true" outlineLevel="0" collapsed="false">
      <c r="A102" s="9" t="s">
        <v>58</v>
      </c>
      <c r="B102" s="10" t="s">
        <v>59</v>
      </c>
      <c r="C102" s="9" t="n">
        <v>150</v>
      </c>
      <c r="D102" s="11" t="n">
        <v>3.81</v>
      </c>
      <c r="E102" s="11" t="n">
        <v>2.72</v>
      </c>
      <c r="F102" s="11" t="n">
        <v>40</v>
      </c>
      <c r="G102" s="11" t="n">
        <v>208.48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customFormat="false" ht="14.25" hidden="false" customHeight="true" outlineLevel="0" collapsed="false">
      <c r="A103" s="9"/>
      <c r="B103" s="10" t="s">
        <v>60</v>
      </c>
      <c r="C103" s="9" t="n">
        <v>20</v>
      </c>
      <c r="D103" s="11" t="n">
        <v>1.5</v>
      </c>
      <c r="E103" s="11" t="n">
        <v>2.36</v>
      </c>
      <c r="F103" s="11" t="n">
        <v>14.98</v>
      </c>
      <c r="G103" s="11" t="n">
        <v>91</v>
      </c>
      <c r="H103" s="1"/>
      <c r="I103" s="16"/>
      <c r="J103" s="1"/>
      <c r="K103" s="1"/>
      <c r="L103" s="16"/>
      <c r="M103" s="1"/>
      <c r="N103" s="1"/>
      <c r="O103" s="16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customFormat="false" ht="14.25" hidden="false" customHeight="true" outlineLevel="0" collapsed="false">
      <c r="A104" s="9" t="n">
        <v>323</v>
      </c>
      <c r="B104" s="10" t="s">
        <v>62</v>
      </c>
      <c r="C104" s="9" t="n">
        <v>200</v>
      </c>
      <c r="D104" s="11" t="n">
        <v>0.01</v>
      </c>
      <c r="E104" s="11"/>
      <c r="F104" s="11" t="n">
        <v>15.62</v>
      </c>
      <c r="G104" s="11" t="n">
        <v>65.646</v>
      </c>
      <c r="H104" s="1"/>
      <c r="I104" s="16"/>
      <c r="J104" s="1"/>
      <c r="K104" s="1"/>
      <c r="L104" s="16"/>
      <c r="M104" s="1"/>
      <c r="N104" s="1"/>
      <c r="O104" s="16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customFormat="false" ht="14.25" hidden="false" customHeight="true" outlineLevel="0" collapsed="false">
      <c r="A105" s="9"/>
      <c r="B105" s="10" t="s">
        <v>28</v>
      </c>
      <c r="C105" s="9" t="n">
        <v>40</v>
      </c>
      <c r="D105" s="11" t="n">
        <v>3.04</v>
      </c>
      <c r="E105" s="11" t="n">
        <v>0.32</v>
      </c>
      <c r="F105" s="11" t="n">
        <v>19.68</v>
      </c>
      <c r="G105" s="11" t="n">
        <v>98.34</v>
      </c>
      <c r="H105" s="1"/>
      <c r="I105" s="17"/>
      <c r="J105" s="1"/>
      <c r="K105" s="1"/>
      <c r="L105" s="17"/>
      <c r="M105" s="16"/>
      <c r="N105" s="16"/>
      <c r="O105" s="16"/>
      <c r="P105" s="16"/>
      <c r="Q105" s="16"/>
      <c r="R105" s="16"/>
      <c r="S105" s="16"/>
      <c r="T105" s="16"/>
      <c r="U105" s="16"/>
      <c r="V105" s="1"/>
      <c r="W105" s="16"/>
      <c r="X105" s="16"/>
      <c r="Y105" s="17"/>
    </row>
    <row r="106" customFormat="false" ht="15.75" hidden="false" customHeight="true" outlineLevel="0" collapsed="false">
      <c r="A106" s="13" t="s">
        <v>29</v>
      </c>
      <c r="B106" s="13"/>
      <c r="C106" s="6" t="n">
        <f aca="false">SUM(C101:C105)</f>
        <v>500</v>
      </c>
      <c r="D106" s="11"/>
      <c r="E106" s="11"/>
      <c r="F106" s="11"/>
      <c r="G106" s="11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customFormat="false" ht="17.25" hidden="false" customHeight="true" outlineLevel="0" collapsed="false">
      <c r="A107" s="9"/>
      <c r="B107" s="7" t="s">
        <v>81</v>
      </c>
      <c r="C107" s="7"/>
      <c r="D107" s="8" t="n">
        <f aca="false">D108+D109+D110+D111+D112+D113</f>
        <v>19.66</v>
      </c>
      <c r="E107" s="8" t="n">
        <f aca="false">E108+E109+E110+E111+E112+E113</f>
        <v>32.91</v>
      </c>
      <c r="F107" s="8" t="n">
        <f aca="false">F108+F109+F110+F111+F112+F113</f>
        <v>76.77</v>
      </c>
      <c r="G107" s="8" t="n">
        <f aca="false">G108+G109+G110+G111+G112+G113</f>
        <v>721.908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customFormat="false" ht="15" hidden="false" customHeight="true" outlineLevel="0" collapsed="false">
      <c r="A108" s="9" t="s">
        <v>82</v>
      </c>
      <c r="B108" s="10" t="s">
        <v>83</v>
      </c>
      <c r="C108" s="33" t="n">
        <v>60</v>
      </c>
      <c r="D108" s="11" t="n">
        <v>0.94</v>
      </c>
      <c r="E108" s="11" t="n">
        <v>3.06</v>
      </c>
      <c r="F108" s="11" t="n">
        <v>5.66</v>
      </c>
      <c r="G108" s="11" t="n">
        <v>55.26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customFormat="false" ht="24" hidden="false" customHeight="true" outlineLevel="0" collapsed="false">
      <c r="A109" s="9" t="s">
        <v>119</v>
      </c>
      <c r="B109" s="10" t="s">
        <v>120</v>
      </c>
      <c r="C109" s="33" t="n">
        <v>210</v>
      </c>
      <c r="D109" s="11" t="n">
        <v>4.65</v>
      </c>
      <c r="E109" s="11" t="n">
        <v>6.92</v>
      </c>
      <c r="F109" s="11" t="n">
        <v>12.49</v>
      </c>
      <c r="G109" s="11" t="n">
        <v>134.268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customFormat="false" ht="14.25" hidden="false" customHeight="true" outlineLevel="0" collapsed="false">
      <c r="A110" s="9" t="s">
        <v>121</v>
      </c>
      <c r="B110" s="10" t="s">
        <v>122</v>
      </c>
      <c r="C110" s="33" t="n">
        <v>110</v>
      </c>
      <c r="D110" s="11" t="n">
        <v>9.15</v>
      </c>
      <c r="E110" s="11" t="n">
        <v>14.97</v>
      </c>
      <c r="F110" s="11" t="n">
        <v>10.6</v>
      </c>
      <c r="G110" s="11" t="n">
        <v>217.68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customFormat="false" ht="14.25" hidden="false" customHeight="true" outlineLevel="0" collapsed="false">
      <c r="A111" s="9" t="s">
        <v>33</v>
      </c>
      <c r="B111" s="10" t="s">
        <v>34</v>
      </c>
      <c r="C111" s="33" t="n">
        <v>150</v>
      </c>
      <c r="D111" s="11" t="n">
        <v>3.26</v>
      </c>
      <c r="E111" s="11" t="n">
        <v>7.8</v>
      </c>
      <c r="F111" s="11" t="n">
        <v>21.99</v>
      </c>
      <c r="G111" s="11" t="n">
        <v>176.3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customFormat="false" ht="14.25" hidden="false" customHeight="true" outlineLevel="0" collapsed="false">
      <c r="A112" s="9" t="s">
        <v>123</v>
      </c>
      <c r="B112" s="10" t="s">
        <v>124</v>
      </c>
      <c r="C112" s="33" t="n">
        <v>200</v>
      </c>
      <c r="D112" s="11" t="n">
        <v>0.14</v>
      </c>
      <c r="E112" s="11"/>
      <c r="F112" s="11" t="n">
        <v>16.19</v>
      </c>
      <c r="G112" s="11" t="n">
        <v>89.23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customFormat="false" ht="13.5" hidden="false" customHeight="true" outlineLevel="0" collapsed="false">
      <c r="A113" s="12"/>
      <c r="B113" s="10" t="s">
        <v>28</v>
      </c>
      <c r="C113" s="33" t="n">
        <v>20</v>
      </c>
      <c r="D113" s="11" t="n">
        <v>1.52</v>
      </c>
      <c r="E113" s="11" t="n">
        <v>0.16</v>
      </c>
      <c r="F113" s="11" t="n">
        <v>9.84</v>
      </c>
      <c r="G113" s="11" t="n">
        <v>49.17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customFormat="false" ht="12.75" hidden="false" customHeight="true" outlineLevel="0" collapsed="false">
      <c r="A114" s="13" t="s">
        <v>29</v>
      </c>
      <c r="B114" s="13"/>
      <c r="C114" s="18" t="n">
        <f aca="false">SUM(C108:C113)</f>
        <v>750</v>
      </c>
      <c r="D114" s="11"/>
      <c r="E114" s="11"/>
      <c r="F114" s="11"/>
      <c r="G114" s="11"/>
      <c r="H114" s="1"/>
      <c r="I114" s="17"/>
      <c r="J114" s="1"/>
      <c r="K114" s="1"/>
      <c r="L114" s="17"/>
      <c r="M114" s="16"/>
      <c r="N114" s="16"/>
      <c r="O114" s="16"/>
      <c r="P114" s="16"/>
      <c r="Q114" s="16"/>
      <c r="R114" s="16"/>
      <c r="S114" s="16"/>
      <c r="T114" s="16"/>
      <c r="U114" s="16"/>
      <c r="V114" s="1"/>
      <c r="W114" s="16"/>
      <c r="X114" s="16"/>
      <c r="Y114" s="17"/>
    </row>
    <row r="115" customFormat="false" ht="27.95" hidden="false" customHeight="true" outlineLevel="0" collapsed="false">
      <c r="A115" s="7" t="s">
        <v>63</v>
      </c>
      <c r="B115" s="7"/>
      <c r="C115" s="7"/>
      <c r="D115" s="8" t="n">
        <f aca="false">D116+D122</f>
        <v>43.22</v>
      </c>
      <c r="E115" s="8" t="n">
        <f aca="false">E116+E122</f>
        <v>53.35</v>
      </c>
      <c r="F115" s="8" t="n">
        <f aca="false">F116+F122</f>
        <v>150.54</v>
      </c>
      <c r="G115" s="8" t="n">
        <f aca="false">G116+G122</f>
        <v>1295.726</v>
      </c>
    </row>
    <row r="116" customFormat="false" ht="12.75" hidden="false" customHeight="true" outlineLevel="0" collapsed="false">
      <c r="A116" s="6"/>
      <c r="B116" s="7" t="s">
        <v>18</v>
      </c>
      <c r="C116" s="7"/>
      <c r="D116" s="8" t="n">
        <f aca="false">D117+D118+D119+D120</f>
        <v>17.76</v>
      </c>
      <c r="E116" s="8" t="n">
        <f aca="false">E117+E118+E119+E120</f>
        <v>14.36</v>
      </c>
      <c r="F116" s="8" t="n">
        <f aca="false">F117+F118+F119+F120</f>
        <v>71.48</v>
      </c>
      <c r="G116" s="8" t="n">
        <f aca="false">G117+G118+G119+G120</f>
        <v>504.636</v>
      </c>
    </row>
    <row r="117" customFormat="false" ht="12.75" hidden="false" customHeight="false" outlineLevel="0" collapsed="false">
      <c r="A117" s="9" t="s">
        <v>64</v>
      </c>
      <c r="B117" s="10" t="s">
        <v>65</v>
      </c>
      <c r="C117" s="9" t="n">
        <v>110</v>
      </c>
      <c r="D117" s="11" t="n">
        <v>9.08</v>
      </c>
      <c r="E117" s="11" t="n">
        <v>11.2</v>
      </c>
      <c r="F117" s="11" t="n">
        <v>5.8</v>
      </c>
      <c r="G117" s="11" t="n">
        <v>163.296</v>
      </c>
    </row>
    <row r="118" customFormat="false" ht="12.75" hidden="false" customHeight="false" outlineLevel="0" collapsed="false">
      <c r="A118" s="9" t="s">
        <v>51</v>
      </c>
      <c r="B118" s="10" t="s">
        <v>52</v>
      </c>
      <c r="C118" s="9" t="n">
        <v>150</v>
      </c>
      <c r="D118" s="11" t="n">
        <v>5.64</v>
      </c>
      <c r="E118" s="11" t="n">
        <v>2.84</v>
      </c>
      <c r="F118" s="11" t="n">
        <v>36</v>
      </c>
      <c r="G118" s="11" t="n">
        <v>201</v>
      </c>
    </row>
    <row r="119" customFormat="false" ht="12.75" hidden="false" customHeight="false" outlineLevel="0" collapsed="false">
      <c r="A119" s="9" t="s">
        <v>35</v>
      </c>
      <c r="B119" s="10" t="s">
        <v>36</v>
      </c>
      <c r="C119" s="12" t="n">
        <v>200</v>
      </c>
      <c r="D119" s="11" t="n">
        <v>0</v>
      </c>
      <c r="E119" s="11" t="n">
        <v>0</v>
      </c>
      <c r="F119" s="11" t="n">
        <v>10</v>
      </c>
      <c r="G119" s="11" t="n">
        <v>42</v>
      </c>
    </row>
    <row r="120" customFormat="false" ht="12.75" hidden="false" customHeight="false" outlineLevel="0" collapsed="false">
      <c r="A120" s="9"/>
      <c r="B120" s="10" t="s">
        <v>28</v>
      </c>
      <c r="C120" s="9" t="n">
        <v>40</v>
      </c>
      <c r="D120" s="11" t="n">
        <v>3.04</v>
      </c>
      <c r="E120" s="11" t="n">
        <v>0.32</v>
      </c>
      <c r="F120" s="11" t="n">
        <v>19.68</v>
      </c>
      <c r="G120" s="11" t="n">
        <v>98.34</v>
      </c>
    </row>
    <row r="121" customFormat="false" ht="12.75" hidden="false" customHeight="true" outlineLevel="0" collapsed="false">
      <c r="A121" s="13" t="s">
        <v>29</v>
      </c>
      <c r="B121" s="13"/>
      <c r="C121" s="34" t="n">
        <f aca="false">SUM(C117:C120)</f>
        <v>500</v>
      </c>
      <c r="D121" s="11"/>
      <c r="E121" s="11"/>
      <c r="F121" s="11"/>
      <c r="G121" s="11"/>
    </row>
    <row r="122" customFormat="false" ht="12.75" hidden="false" customHeight="true" outlineLevel="0" collapsed="false">
      <c r="A122" s="12"/>
      <c r="B122" s="7" t="s">
        <v>81</v>
      </c>
      <c r="C122" s="7"/>
      <c r="D122" s="8" t="n">
        <f aca="false">D123+D124+D125+D126+D127+D128</f>
        <v>25.46</v>
      </c>
      <c r="E122" s="8" t="n">
        <f aca="false">E123+E124+E125+E126+E127+E128</f>
        <v>38.99</v>
      </c>
      <c r="F122" s="8" t="n">
        <f aca="false">F123+F124+F125+F126+F127+F128</f>
        <v>79.06</v>
      </c>
      <c r="G122" s="8" t="n">
        <f aca="false">G123+G124+G125+G126+G127+G128</f>
        <v>791.09</v>
      </c>
    </row>
    <row r="123" customFormat="false" ht="12.75" hidden="false" customHeight="false" outlineLevel="0" collapsed="false">
      <c r="A123" s="9" t="s">
        <v>86</v>
      </c>
      <c r="B123" s="10" t="s">
        <v>87</v>
      </c>
      <c r="C123" s="9" t="n">
        <v>60</v>
      </c>
      <c r="D123" s="11" t="n">
        <v>0.84</v>
      </c>
      <c r="E123" s="11" t="n">
        <v>3.06</v>
      </c>
      <c r="F123" s="11" t="n">
        <v>6.83</v>
      </c>
      <c r="G123" s="11" t="n">
        <v>59.75</v>
      </c>
    </row>
    <row r="124" customFormat="false" ht="25.5" hidden="false" customHeight="false" outlineLevel="0" collapsed="false">
      <c r="A124" s="9" t="s">
        <v>125</v>
      </c>
      <c r="B124" s="10" t="s">
        <v>126</v>
      </c>
      <c r="C124" s="9" t="n">
        <v>210</v>
      </c>
      <c r="D124" s="11" t="n">
        <v>7.49</v>
      </c>
      <c r="E124" s="11" t="n">
        <f aca="false">10.16+12.36</f>
        <v>22.52</v>
      </c>
      <c r="F124" s="11" t="n">
        <f aca="false">4.87+8.96</f>
        <v>13.83</v>
      </c>
      <c r="G124" s="11" t="n">
        <v>292.92</v>
      </c>
    </row>
    <row r="125" customFormat="false" ht="12.75" hidden="false" customHeight="false" outlineLevel="0" collapsed="false">
      <c r="A125" s="9" t="s">
        <v>96</v>
      </c>
      <c r="B125" s="10" t="s">
        <v>97</v>
      </c>
      <c r="C125" s="9" t="n">
        <v>90</v>
      </c>
      <c r="D125" s="11" t="n">
        <v>11.84</v>
      </c>
      <c r="E125" s="11" t="n">
        <v>10.06</v>
      </c>
      <c r="F125" s="11" t="n">
        <v>16.03</v>
      </c>
      <c r="G125" s="11" t="n">
        <v>208</v>
      </c>
    </row>
    <row r="126" customFormat="false" ht="12.75" hidden="false" customHeight="false" outlineLevel="0" collapsed="false">
      <c r="A126" s="9" t="s">
        <v>127</v>
      </c>
      <c r="B126" s="10" t="s">
        <v>128</v>
      </c>
      <c r="C126" s="9" t="n">
        <v>150</v>
      </c>
      <c r="D126" s="11" t="n">
        <v>3.14</v>
      </c>
      <c r="E126" s="11" t="n">
        <v>3.27</v>
      </c>
      <c r="F126" s="11" t="n">
        <v>22.34</v>
      </c>
      <c r="G126" s="11" t="n">
        <v>136.5</v>
      </c>
    </row>
    <row r="127" customFormat="false" ht="17.25" hidden="false" customHeight="true" outlineLevel="0" collapsed="false">
      <c r="A127" s="9" t="s">
        <v>42</v>
      </c>
      <c r="B127" s="10" t="s">
        <v>70</v>
      </c>
      <c r="C127" s="9" t="n">
        <v>200</v>
      </c>
      <c r="D127" s="11" t="n">
        <v>1.15</v>
      </c>
      <c r="E127" s="11"/>
      <c r="F127" s="11" t="n">
        <v>12.03</v>
      </c>
      <c r="G127" s="11" t="n">
        <v>55.4</v>
      </c>
    </row>
    <row r="128" customFormat="false" ht="12.75" hidden="false" customHeight="false" outlineLevel="0" collapsed="false">
      <c r="A128" s="12"/>
      <c r="B128" s="10" t="s">
        <v>100</v>
      </c>
      <c r="C128" s="9" t="n">
        <v>20</v>
      </c>
      <c r="D128" s="11" t="n">
        <v>1</v>
      </c>
      <c r="E128" s="11" t="n">
        <v>0.08</v>
      </c>
      <c r="F128" s="11" t="n">
        <v>8</v>
      </c>
      <c r="G128" s="11" t="n">
        <v>38.52</v>
      </c>
    </row>
    <row r="129" customFormat="false" ht="12.75" hidden="false" customHeight="true" outlineLevel="0" collapsed="false">
      <c r="A129" s="13" t="s">
        <v>29</v>
      </c>
      <c r="B129" s="13"/>
      <c r="C129" s="6" t="n">
        <f aca="false">SUM(C123:C128)</f>
        <v>730</v>
      </c>
      <c r="D129" s="11"/>
      <c r="E129" s="11"/>
      <c r="F129" s="11"/>
      <c r="G129" s="11"/>
    </row>
    <row r="130" customFormat="false" ht="27.95" hidden="false" customHeight="true" outlineLevel="0" collapsed="false">
      <c r="A130" s="7" t="s">
        <v>66</v>
      </c>
      <c r="B130" s="7"/>
      <c r="C130" s="7"/>
      <c r="D130" s="8" t="n">
        <f aca="false">D131+D138</f>
        <v>49.44</v>
      </c>
      <c r="E130" s="8" t="n">
        <f aca="false">E131+E138</f>
        <v>30.97</v>
      </c>
      <c r="F130" s="8" t="n">
        <f aca="false">F131+F138</f>
        <v>184.49</v>
      </c>
      <c r="G130" s="8" t="n">
        <f aca="false">G131+G138</f>
        <v>1261.326</v>
      </c>
    </row>
    <row r="131" customFormat="false" ht="12.75" hidden="false" customHeight="true" outlineLevel="0" collapsed="false">
      <c r="A131" s="6"/>
      <c r="B131" s="7" t="s">
        <v>18</v>
      </c>
      <c r="C131" s="7"/>
      <c r="D131" s="8" t="n">
        <f aca="false">D132+D133+D134+D135+D136</f>
        <v>28.65</v>
      </c>
      <c r="E131" s="8" t="n">
        <f aca="false">E132+E133+E134+E135+E136</f>
        <v>11.99</v>
      </c>
      <c r="F131" s="8" t="n">
        <f aca="false">F132+F133+F134+F135+F136</f>
        <v>73.56</v>
      </c>
      <c r="G131" s="8" t="n">
        <f aca="false">G132+G133+G134+G135+G136</f>
        <v>537.272</v>
      </c>
    </row>
    <row r="132" customFormat="false" ht="13.5" hidden="false" customHeight="true" outlineLevel="0" collapsed="false">
      <c r="A132" s="9"/>
      <c r="B132" s="10" t="s">
        <v>67</v>
      </c>
      <c r="C132" s="9" t="n">
        <v>40</v>
      </c>
      <c r="D132" s="11" t="n">
        <v>5.08</v>
      </c>
      <c r="E132" s="11" t="n">
        <v>4.6</v>
      </c>
      <c r="F132" s="11" t="n">
        <v>0.28</v>
      </c>
      <c r="G132" s="11" t="n">
        <v>63.912</v>
      </c>
    </row>
    <row r="133" customFormat="false" ht="25.5" hidden="false" customHeight="false" outlineLevel="0" collapsed="false">
      <c r="A133" s="20" t="s">
        <v>68</v>
      </c>
      <c r="B133" s="19" t="s">
        <v>69</v>
      </c>
      <c r="C133" s="20" t="n">
        <v>120</v>
      </c>
      <c r="D133" s="21" t="n">
        <f aca="false">18.92+0.06</f>
        <v>18.98</v>
      </c>
      <c r="E133" s="21" t="n">
        <f aca="false">7.01+0.06</f>
        <v>7.07</v>
      </c>
      <c r="F133" s="21" t="n">
        <f aca="false">15+16.77</f>
        <v>31.77</v>
      </c>
      <c r="G133" s="21" t="n">
        <v>276.78</v>
      </c>
    </row>
    <row r="134" customFormat="false" ht="12.75" hidden="false" customHeight="false" outlineLevel="0" collapsed="false">
      <c r="A134" s="9"/>
      <c r="B134" s="10" t="s">
        <v>45</v>
      </c>
      <c r="C134" s="9" t="n">
        <v>100</v>
      </c>
      <c r="D134" s="11" t="n">
        <v>0.4</v>
      </c>
      <c r="E134" s="11" t="n">
        <v>0</v>
      </c>
      <c r="F134" s="11" t="n">
        <v>9.8</v>
      </c>
      <c r="G134" s="11" t="n">
        <v>42.84</v>
      </c>
    </row>
    <row r="135" customFormat="false" ht="12.75" hidden="false" customHeight="false" outlineLevel="0" collapsed="false">
      <c r="A135" s="9" t="s">
        <v>42</v>
      </c>
      <c r="B135" s="10" t="s">
        <v>70</v>
      </c>
      <c r="C135" s="9" t="n">
        <v>200</v>
      </c>
      <c r="D135" s="11" t="n">
        <v>1.15</v>
      </c>
      <c r="E135" s="11"/>
      <c r="F135" s="11" t="n">
        <v>12.03</v>
      </c>
      <c r="G135" s="11" t="n">
        <v>55.4</v>
      </c>
    </row>
    <row r="136" customFormat="false" ht="12.75" hidden="false" customHeight="false" outlineLevel="0" collapsed="false">
      <c r="A136" s="9"/>
      <c r="B136" s="10" t="s">
        <v>28</v>
      </c>
      <c r="C136" s="9" t="n">
        <v>40</v>
      </c>
      <c r="D136" s="11" t="n">
        <v>3.04</v>
      </c>
      <c r="E136" s="11" t="n">
        <v>0.32</v>
      </c>
      <c r="F136" s="11" t="n">
        <v>19.68</v>
      </c>
      <c r="G136" s="11" t="n">
        <v>98.34</v>
      </c>
    </row>
    <row r="137" customFormat="false" ht="12.75" hidden="false" customHeight="true" outlineLevel="0" collapsed="false">
      <c r="A137" s="13" t="s">
        <v>29</v>
      </c>
      <c r="B137" s="13"/>
      <c r="C137" s="6" t="n">
        <f aca="false">SUM(C132:C136)</f>
        <v>500</v>
      </c>
      <c r="D137" s="11"/>
      <c r="E137" s="11"/>
      <c r="F137" s="11"/>
      <c r="G137" s="11"/>
    </row>
    <row r="138" customFormat="false" ht="18.75" hidden="false" customHeight="true" outlineLevel="0" collapsed="false">
      <c r="A138" s="9"/>
      <c r="B138" s="7" t="s">
        <v>81</v>
      </c>
      <c r="C138" s="7"/>
      <c r="D138" s="8" t="n">
        <f aca="false">D139+D140+D141+D142+D143+D144</f>
        <v>20.79</v>
      </c>
      <c r="E138" s="8" t="n">
        <f aca="false">E139+E140+E141+E142+E143+E144</f>
        <v>18.98</v>
      </c>
      <c r="F138" s="8" t="n">
        <f aca="false">F139+F140+F141+F142+F143+F144</f>
        <v>110.93</v>
      </c>
      <c r="G138" s="8" t="n">
        <f aca="false">G139+G140+G141+G142+G143+G144</f>
        <v>724.054</v>
      </c>
    </row>
    <row r="139" customFormat="false" ht="12.75" hidden="false" customHeight="false" outlineLevel="0" collapsed="false">
      <c r="A139" s="12" t="s">
        <v>107</v>
      </c>
      <c r="B139" s="10" t="s">
        <v>108</v>
      </c>
      <c r="C139" s="9" t="n">
        <v>60</v>
      </c>
      <c r="D139" s="11" t="n">
        <v>0.74</v>
      </c>
      <c r="E139" s="11" t="n">
        <v>0.06</v>
      </c>
      <c r="F139" s="11" t="n">
        <v>16.92</v>
      </c>
      <c r="G139" s="11" t="n">
        <v>74.71</v>
      </c>
    </row>
    <row r="140" customFormat="false" ht="25.5" hidden="false" customHeight="false" outlineLevel="0" collapsed="false">
      <c r="A140" s="9" t="s">
        <v>113</v>
      </c>
      <c r="B140" s="10" t="s">
        <v>114</v>
      </c>
      <c r="C140" s="9" t="n">
        <v>205</v>
      </c>
      <c r="D140" s="11" t="n">
        <v>3.96</v>
      </c>
      <c r="E140" s="11" t="n">
        <v>4.86</v>
      </c>
      <c r="F140" s="11" t="n">
        <v>17.01</v>
      </c>
      <c r="G140" s="11" t="n">
        <v>131.814</v>
      </c>
    </row>
    <row r="141" customFormat="false" ht="12.75" hidden="false" customHeight="false" outlineLevel="0" collapsed="false">
      <c r="A141" s="9" t="s">
        <v>129</v>
      </c>
      <c r="B141" s="10" t="s">
        <v>78</v>
      </c>
      <c r="C141" s="9" t="n">
        <v>115</v>
      </c>
      <c r="D141" s="11" t="n">
        <v>6.32</v>
      </c>
      <c r="E141" s="11" t="n">
        <v>8.79</v>
      </c>
      <c r="F141" s="11" t="n">
        <v>19.37</v>
      </c>
      <c r="G141" s="11" t="n">
        <v>187.01</v>
      </c>
    </row>
    <row r="142" customFormat="false" ht="12.75" hidden="false" customHeight="false" outlineLevel="0" collapsed="false">
      <c r="A142" s="9" t="s">
        <v>98</v>
      </c>
      <c r="B142" s="10" t="s">
        <v>99</v>
      </c>
      <c r="C142" s="9" t="n">
        <v>150</v>
      </c>
      <c r="D142" s="11" t="n">
        <v>8.77</v>
      </c>
      <c r="E142" s="11" t="n">
        <v>5.19</v>
      </c>
      <c r="F142" s="11" t="n">
        <v>39.63</v>
      </c>
      <c r="G142" s="11" t="n">
        <v>250</v>
      </c>
    </row>
    <row r="143" customFormat="false" ht="12.75" hidden="false" customHeight="false" outlineLevel="0" collapsed="false">
      <c r="A143" s="9" t="s">
        <v>35</v>
      </c>
      <c r="B143" s="10" t="s">
        <v>36</v>
      </c>
      <c r="C143" s="9" t="n">
        <v>200</v>
      </c>
      <c r="D143" s="11" t="n">
        <v>0</v>
      </c>
      <c r="E143" s="11" t="n">
        <v>0</v>
      </c>
      <c r="F143" s="11" t="n">
        <v>10</v>
      </c>
      <c r="G143" s="11" t="n">
        <v>42</v>
      </c>
    </row>
    <row r="144" customFormat="false" ht="12" hidden="false" customHeight="true" outlineLevel="0" collapsed="false">
      <c r="A144" s="12"/>
      <c r="B144" s="10" t="s">
        <v>100</v>
      </c>
      <c r="C144" s="9" t="n">
        <v>20</v>
      </c>
      <c r="D144" s="11" t="n">
        <v>1</v>
      </c>
      <c r="E144" s="11" t="n">
        <v>0.08</v>
      </c>
      <c r="F144" s="11" t="n">
        <v>8</v>
      </c>
      <c r="G144" s="11" t="n">
        <v>38.52</v>
      </c>
    </row>
    <row r="145" customFormat="false" ht="12.75" hidden="false" customHeight="true" outlineLevel="0" collapsed="false">
      <c r="A145" s="13" t="s">
        <v>29</v>
      </c>
      <c r="B145" s="13"/>
      <c r="C145" s="6" t="n">
        <f aca="false">SUM(C139:C144)</f>
        <v>750</v>
      </c>
      <c r="D145" s="11"/>
      <c r="E145" s="11"/>
      <c r="F145" s="11"/>
      <c r="G145" s="11"/>
    </row>
    <row r="146" customFormat="false" ht="27.95" hidden="false" customHeight="true" outlineLevel="0" collapsed="false">
      <c r="A146" s="7" t="s">
        <v>71</v>
      </c>
      <c r="B146" s="7"/>
      <c r="C146" s="7"/>
      <c r="D146" s="8" t="n">
        <f aca="false">D147+D154</f>
        <v>46.15</v>
      </c>
      <c r="E146" s="8" t="n">
        <f aca="false">E147+E154</f>
        <v>47.07</v>
      </c>
      <c r="F146" s="8" t="n">
        <f aca="false">F147+F154</f>
        <v>159.06</v>
      </c>
      <c r="G146" s="8" t="n">
        <f aca="false">G147+G154</f>
        <v>1287.23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22"/>
    </row>
    <row r="147" customFormat="false" ht="12.75" hidden="false" customHeight="true" outlineLevel="0" collapsed="false">
      <c r="A147" s="6"/>
      <c r="B147" s="7" t="s">
        <v>18</v>
      </c>
      <c r="C147" s="7"/>
      <c r="D147" s="8" t="n">
        <f aca="false">D148+D149+D150+D151+D152</f>
        <v>24.86</v>
      </c>
      <c r="E147" s="8" t="n">
        <f aca="false">E148+E149+E150+E151+E152</f>
        <v>13.04</v>
      </c>
      <c r="F147" s="8" t="n">
        <f aca="false">F148+F149+F150+F151+F152</f>
        <v>74.82</v>
      </c>
      <c r="G147" s="8" t="n">
        <f aca="false">G148+G149+G150+G151+G152</f>
        <v>536.82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22"/>
    </row>
    <row r="148" customFormat="false" ht="12.75" hidden="false" customHeight="false" outlineLevel="0" collapsed="false">
      <c r="A148" s="9" t="s">
        <v>72</v>
      </c>
      <c r="B148" s="10" t="s">
        <v>73</v>
      </c>
      <c r="C148" s="9" t="n">
        <v>100</v>
      </c>
      <c r="D148" s="11" t="n">
        <v>17.83</v>
      </c>
      <c r="E148" s="11" t="n">
        <v>7.99</v>
      </c>
      <c r="F148" s="11" t="n">
        <v>4.25</v>
      </c>
      <c r="G148" s="11" t="n">
        <v>165</v>
      </c>
      <c r="H148" s="1"/>
      <c r="I148" s="1"/>
      <c r="J148" s="1"/>
      <c r="K148" s="1"/>
      <c r="L148" s="1"/>
      <c r="M148" s="1"/>
      <c r="N148" s="1"/>
      <c r="O148" s="16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customFormat="false" ht="12.75" hidden="false" customHeight="false" outlineLevel="0" collapsed="false">
      <c r="A149" s="9" t="s">
        <v>58</v>
      </c>
      <c r="B149" s="10" t="s">
        <v>59</v>
      </c>
      <c r="C149" s="9" t="n">
        <v>150</v>
      </c>
      <c r="D149" s="11" t="n">
        <v>3.81</v>
      </c>
      <c r="E149" s="11" t="n">
        <v>2.72</v>
      </c>
      <c r="F149" s="11" t="n">
        <v>40</v>
      </c>
      <c r="G149" s="11" t="n">
        <v>208.48</v>
      </c>
      <c r="H149" s="1"/>
      <c r="I149" s="1"/>
      <c r="J149" s="1"/>
      <c r="K149" s="1"/>
      <c r="L149" s="1"/>
      <c r="M149" s="16"/>
      <c r="N149" s="1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customFormat="false" ht="12.75" hidden="false" customHeight="false" outlineLevel="0" collapsed="false">
      <c r="A150" s="12" t="s">
        <v>74</v>
      </c>
      <c r="B150" s="10" t="s">
        <v>75</v>
      </c>
      <c r="C150" s="9" t="n">
        <v>20</v>
      </c>
      <c r="D150" s="11" t="n">
        <v>0.18</v>
      </c>
      <c r="E150" s="11" t="n">
        <v>2.01</v>
      </c>
      <c r="F150" s="11" t="n">
        <v>0.89</v>
      </c>
      <c r="G150" s="11" t="n">
        <v>23</v>
      </c>
      <c r="H150" s="1"/>
      <c r="I150" s="16"/>
      <c r="J150" s="1"/>
      <c r="K150" s="1"/>
      <c r="L150" s="1"/>
      <c r="M150" s="1"/>
      <c r="N150" s="1"/>
      <c r="O150" s="16"/>
      <c r="P150" s="16"/>
      <c r="Q150" s="16"/>
      <c r="R150" s="16"/>
      <c r="S150" s="16"/>
      <c r="T150" s="16"/>
      <c r="U150" s="16"/>
      <c r="V150" s="1"/>
      <c r="W150" s="16"/>
      <c r="X150" s="16"/>
      <c r="Y150" s="1"/>
    </row>
    <row r="151" customFormat="false" ht="12.75" hidden="false" customHeight="false" outlineLevel="0" collapsed="false">
      <c r="A151" s="9" t="s">
        <v>35</v>
      </c>
      <c r="B151" s="10" t="s">
        <v>36</v>
      </c>
      <c r="C151" s="12" t="n">
        <v>200</v>
      </c>
      <c r="D151" s="11" t="n">
        <v>0</v>
      </c>
      <c r="E151" s="11" t="n">
        <v>0</v>
      </c>
      <c r="F151" s="11" t="n">
        <v>10</v>
      </c>
      <c r="G151" s="11" t="n">
        <v>42</v>
      </c>
      <c r="H151" s="1"/>
      <c r="I151" s="16"/>
      <c r="J151" s="1"/>
      <c r="K151" s="1"/>
      <c r="L151" s="1"/>
      <c r="M151" s="1"/>
      <c r="N151" s="1"/>
      <c r="O151" s="16"/>
      <c r="P151" s="16"/>
      <c r="Q151" s="16"/>
      <c r="R151" s="16"/>
      <c r="S151" s="16"/>
      <c r="T151" s="16"/>
      <c r="U151" s="16"/>
      <c r="V151" s="1"/>
      <c r="W151" s="16"/>
      <c r="X151" s="16"/>
      <c r="Y151" s="1"/>
    </row>
    <row r="152" customFormat="false" ht="12.75" hidden="false" customHeight="false" outlineLevel="0" collapsed="false">
      <c r="A152" s="9"/>
      <c r="B152" s="10" t="s">
        <v>28</v>
      </c>
      <c r="C152" s="9" t="n">
        <v>40</v>
      </c>
      <c r="D152" s="11" t="n">
        <v>3.04</v>
      </c>
      <c r="E152" s="11" t="n">
        <v>0.32</v>
      </c>
      <c r="F152" s="11" t="n">
        <v>19.68</v>
      </c>
      <c r="G152" s="11" t="n">
        <v>98.34</v>
      </c>
      <c r="H152" s="1"/>
      <c r="I152" s="17"/>
      <c r="J152" s="1"/>
      <c r="K152" s="1"/>
      <c r="L152" s="17"/>
      <c r="M152" s="16"/>
      <c r="N152" s="16"/>
      <c r="O152" s="16"/>
      <c r="P152" s="16"/>
      <c r="Q152" s="16"/>
      <c r="R152" s="16"/>
      <c r="S152" s="16"/>
      <c r="T152" s="16"/>
      <c r="U152" s="16"/>
      <c r="V152" s="1"/>
      <c r="W152" s="16"/>
      <c r="X152" s="16"/>
      <c r="Y152" s="17"/>
    </row>
    <row r="153" customFormat="false" ht="12.75" hidden="false" customHeight="true" outlineLevel="0" collapsed="false">
      <c r="A153" s="13" t="s">
        <v>29</v>
      </c>
      <c r="B153" s="13"/>
      <c r="C153" s="18" t="n">
        <f aca="false">SUM(C148:C152)</f>
        <v>510</v>
      </c>
      <c r="D153" s="11"/>
      <c r="E153" s="11"/>
      <c r="F153" s="11"/>
      <c r="G153" s="11"/>
      <c r="H153" s="1"/>
      <c r="I153" s="16"/>
      <c r="J153" s="1"/>
      <c r="K153" s="1"/>
      <c r="L153" s="1"/>
      <c r="M153" s="17"/>
      <c r="N153" s="17"/>
      <c r="O153" s="16"/>
      <c r="P153" s="16"/>
      <c r="Q153" s="16"/>
      <c r="R153" s="16"/>
      <c r="S153" s="16"/>
      <c r="T153" s="16"/>
      <c r="U153" s="16"/>
      <c r="V153" s="17"/>
      <c r="W153" s="16"/>
      <c r="X153" s="16"/>
      <c r="Y153" s="17"/>
    </row>
    <row r="154" customFormat="false" ht="12.75" hidden="false" customHeight="true" outlineLevel="0" collapsed="false">
      <c r="A154" s="9"/>
      <c r="B154" s="7" t="s">
        <v>81</v>
      </c>
      <c r="C154" s="7"/>
      <c r="D154" s="8" t="n">
        <f aca="false">D155+D156+D157+D158+D159+D160</f>
        <v>21.29</v>
      </c>
      <c r="E154" s="8" t="n">
        <f aca="false">E155+E156+E157+E158+E159+E160</f>
        <v>34.03</v>
      </c>
      <c r="F154" s="8" t="n">
        <f aca="false">F155+F156+F157+F158+F159+F160</f>
        <v>84.24</v>
      </c>
      <c r="G154" s="8" t="n">
        <f aca="false">G155+G156+G157+G158+G159+G160</f>
        <v>750.41</v>
      </c>
      <c r="H154" s="1"/>
      <c r="I154" s="16"/>
      <c r="J154" s="1"/>
      <c r="K154" s="1"/>
      <c r="L154" s="1"/>
      <c r="M154" s="17"/>
      <c r="N154" s="17"/>
      <c r="O154" s="16"/>
      <c r="P154" s="16"/>
      <c r="Q154" s="16"/>
      <c r="R154" s="16"/>
      <c r="S154" s="16"/>
      <c r="T154" s="16"/>
      <c r="U154" s="16"/>
      <c r="V154" s="17"/>
      <c r="W154" s="16"/>
      <c r="X154" s="16"/>
      <c r="Y154" s="17"/>
    </row>
    <row r="155" customFormat="false" ht="12.75" hidden="false" customHeight="false" outlineLevel="0" collapsed="false">
      <c r="A155" s="9" t="s">
        <v>38</v>
      </c>
      <c r="B155" s="10" t="s">
        <v>39</v>
      </c>
      <c r="C155" s="9" t="n">
        <v>60</v>
      </c>
      <c r="D155" s="11" t="n">
        <v>0.9</v>
      </c>
      <c r="E155" s="11" t="n">
        <v>0.06</v>
      </c>
      <c r="F155" s="11" t="n">
        <v>5.28</v>
      </c>
      <c r="G155" s="11" t="n">
        <v>27</v>
      </c>
      <c r="H155" s="1"/>
      <c r="I155" s="16"/>
      <c r="J155" s="1"/>
      <c r="K155" s="1"/>
      <c r="L155" s="1"/>
      <c r="M155" s="17"/>
      <c r="N155" s="17"/>
      <c r="O155" s="16"/>
      <c r="P155" s="16"/>
      <c r="Q155" s="16"/>
      <c r="R155" s="16"/>
      <c r="S155" s="16"/>
      <c r="T155" s="16"/>
      <c r="U155" s="16"/>
      <c r="V155" s="17"/>
      <c r="W155" s="16"/>
      <c r="X155" s="16"/>
      <c r="Y155" s="17"/>
    </row>
    <row r="156" customFormat="false" ht="25.5" hidden="false" customHeight="false" outlineLevel="0" collapsed="false">
      <c r="A156" s="9" t="s">
        <v>130</v>
      </c>
      <c r="B156" s="10" t="s">
        <v>131</v>
      </c>
      <c r="C156" s="9" t="n">
        <v>205</v>
      </c>
      <c r="D156" s="11" t="n">
        <v>5.81</v>
      </c>
      <c r="E156" s="11" t="n">
        <v>11.82</v>
      </c>
      <c r="F156" s="11" t="n">
        <v>15.48</v>
      </c>
      <c r="G156" s="11" t="n">
        <v>196</v>
      </c>
      <c r="H156" s="1"/>
      <c r="I156" s="16"/>
      <c r="J156" s="1"/>
      <c r="K156" s="1"/>
      <c r="L156" s="1"/>
      <c r="M156" s="17"/>
      <c r="N156" s="17"/>
      <c r="O156" s="16"/>
      <c r="P156" s="16"/>
      <c r="Q156" s="16"/>
      <c r="R156" s="16"/>
      <c r="S156" s="16"/>
      <c r="T156" s="16"/>
      <c r="U156" s="16"/>
      <c r="V156" s="17"/>
      <c r="W156" s="16"/>
      <c r="X156" s="16"/>
      <c r="Y156" s="17"/>
    </row>
    <row r="157" customFormat="false" ht="12.75" hidden="false" customHeight="false" outlineLevel="0" collapsed="false">
      <c r="A157" s="9" t="s">
        <v>49</v>
      </c>
      <c r="B157" s="10" t="s">
        <v>50</v>
      </c>
      <c r="C157" s="9" t="n">
        <v>105</v>
      </c>
      <c r="D157" s="11" t="n">
        <v>6.14</v>
      </c>
      <c r="E157" s="11" t="n">
        <v>11.91</v>
      </c>
      <c r="F157" s="11" t="n">
        <v>10.92</v>
      </c>
      <c r="G157" s="11" t="n">
        <v>178.84</v>
      </c>
      <c r="H157" s="1"/>
      <c r="I157" s="16"/>
      <c r="J157" s="1"/>
      <c r="K157" s="1"/>
      <c r="L157" s="1"/>
      <c r="M157" s="17"/>
      <c r="N157" s="17"/>
      <c r="O157" s="16"/>
      <c r="P157" s="16"/>
      <c r="Q157" s="16"/>
      <c r="R157" s="16"/>
      <c r="S157" s="16"/>
      <c r="T157" s="16"/>
      <c r="U157" s="16"/>
      <c r="V157" s="17"/>
      <c r="W157" s="16"/>
      <c r="X157" s="16"/>
      <c r="Y157" s="17"/>
    </row>
    <row r="158" customFormat="false" ht="12" hidden="false" customHeight="true" outlineLevel="0" collapsed="false">
      <c r="A158" s="9" t="s">
        <v>132</v>
      </c>
      <c r="B158" s="10" t="s">
        <v>133</v>
      </c>
      <c r="C158" s="9" t="n">
        <v>150</v>
      </c>
      <c r="D158" s="11" t="n">
        <v>5.77</v>
      </c>
      <c r="E158" s="11" t="n">
        <v>10.08</v>
      </c>
      <c r="F158" s="11" t="n">
        <v>30.69</v>
      </c>
      <c r="G158" s="11" t="n">
        <v>244</v>
      </c>
      <c r="H158" s="1"/>
      <c r="I158" s="16"/>
      <c r="J158" s="1"/>
      <c r="K158" s="1"/>
      <c r="L158" s="1"/>
      <c r="M158" s="17"/>
      <c r="N158" s="17"/>
      <c r="O158" s="16"/>
      <c r="P158" s="16"/>
      <c r="Q158" s="16"/>
      <c r="R158" s="16"/>
      <c r="S158" s="16"/>
      <c r="T158" s="16"/>
      <c r="U158" s="16"/>
      <c r="V158" s="17"/>
      <c r="W158" s="16"/>
      <c r="X158" s="16"/>
      <c r="Y158" s="17"/>
    </row>
    <row r="159" customFormat="false" ht="12.75" hidden="false" customHeight="false" outlineLevel="0" collapsed="false">
      <c r="A159" s="9" t="s">
        <v>42</v>
      </c>
      <c r="B159" s="10" t="s">
        <v>70</v>
      </c>
      <c r="C159" s="9" t="n">
        <v>200</v>
      </c>
      <c r="D159" s="11" t="n">
        <v>1.15</v>
      </c>
      <c r="E159" s="11"/>
      <c r="F159" s="11" t="n">
        <v>12.03</v>
      </c>
      <c r="G159" s="11" t="n">
        <v>55.4</v>
      </c>
      <c r="H159" s="1"/>
      <c r="I159" s="16"/>
      <c r="J159" s="1"/>
      <c r="K159" s="1"/>
      <c r="L159" s="1"/>
      <c r="M159" s="17"/>
      <c r="N159" s="17"/>
      <c r="O159" s="16"/>
      <c r="P159" s="16"/>
      <c r="Q159" s="16"/>
      <c r="R159" s="16"/>
      <c r="S159" s="16"/>
      <c r="T159" s="16"/>
      <c r="U159" s="16"/>
      <c r="V159" s="17"/>
      <c r="W159" s="16"/>
      <c r="X159" s="16"/>
      <c r="Y159" s="17"/>
    </row>
    <row r="160" customFormat="false" ht="12.75" hidden="false" customHeight="false" outlineLevel="0" collapsed="false">
      <c r="A160" s="12"/>
      <c r="B160" s="10" t="s">
        <v>28</v>
      </c>
      <c r="C160" s="9" t="n">
        <v>20</v>
      </c>
      <c r="D160" s="11" t="n">
        <v>1.52</v>
      </c>
      <c r="E160" s="11" t="n">
        <v>0.16</v>
      </c>
      <c r="F160" s="11" t="n">
        <v>9.84</v>
      </c>
      <c r="G160" s="11" t="n">
        <v>49.17</v>
      </c>
      <c r="H160" s="1"/>
      <c r="I160" s="16"/>
      <c r="J160" s="1"/>
      <c r="K160" s="1"/>
      <c r="L160" s="1"/>
      <c r="M160" s="17"/>
      <c r="N160" s="17"/>
      <c r="O160" s="16"/>
      <c r="P160" s="16"/>
      <c r="Q160" s="16"/>
      <c r="R160" s="16"/>
      <c r="S160" s="16"/>
      <c r="T160" s="16"/>
      <c r="U160" s="16"/>
      <c r="V160" s="17"/>
      <c r="W160" s="16"/>
      <c r="X160" s="16"/>
      <c r="Y160" s="17"/>
    </row>
    <row r="161" customFormat="false" ht="12.75" hidden="false" customHeight="true" outlineLevel="0" collapsed="false">
      <c r="A161" s="13" t="s">
        <v>29</v>
      </c>
      <c r="B161" s="13"/>
      <c r="C161" s="6" t="n">
        <f aca="false">SUM(C155:C160)</f>
        <v>740</v>
      </c>
      <c r="D161" s="11"/>
      <c r="E161" s="11"/>
      <c r="F161" s="11"/>
      <c r="G161" s="11"/>
      <c r="H161" s="1"/>
      <c r="I161" s="16"/>
      <c r="J161" s="1"/>
      <c r="K161" s="1"/>
      <c r="L161" s="1"/>
      <c r="M161" s="17"/>
      <c r="N161" s="17"/>
      <c r="O161" s="16"/>
      <c r="P161" s="16"/>
      <c r="Q161" s="16"/>
      <c r="R161" s="16"/>
      <c r="S161" s="16"/>
      <c r="T161" s="16"/>
      <c r="U161" s="16"/>
      <c r="V161" s="17"/>
      <c r="W161" s="16"/>
      <c r="X161" s="16"/>
      <c r="Y161" s="17"/>
    </row>
  </sheetData>
  <mergeCells count="57">
    <mergeCell ref="A1:G2"/>
    <mergeCell ref="A3:G4"/>
    <mergeCell ref="A5:A6"/>
    <mergeCell ref="B5:B6"/>
    <mergeCell ref="C5:C6"/>
    <mergeCell ref="D5:F5"/>
    <mergeCell ref="G5:G6"/>
    <mergeCell ref="A8:C8"/>
    <mergeCell ref="B9:C9"/>
    <mergeCell ref="A18:B18"/>
    <mergeCell ref="B19:C19"/>
    <mergeCell ref="A25:B25"/>
    <mergeCell ref="A26:C26"/>
    <mergeCell ref="B27:C27"/>
    <mergeCell ref="A32:B32"/>
    <mergeCell ref="B33:C33"/>
    <mergeCell ref="A40:B40"/>
    <mergeCell ref="A41:C41"/>
    <mergeCell ref="B42:C42"/>
    <mergeCell ref="A47:B47"/>
    <mergeCell ref="B48:C48"/>
    <mergeCell ref="A55:B55"/>
    <mergeCell ref="A56:C56"/>
    <mergeCell ref="B57:C57"/>
    <mergeCell ref="A62:B62"/>
    <mergeCell ref="B63:C63"/>
    <mergeCell ref="A69:B69"/>
    <mergeCell ref="A70:C70"/>
    <mergeCell ref="B71:C71"/>
    <mergeCell ref="A76:B76"/>
    <mergeCell ref="B77:C77"/>
    <mergeCell ref="A84:B84"/>
    <mergeCell ref="A85:C85"/>
    <mergeCell ref="B86:C86"/>
    <mergeCell ref="A91:B91"/>
    <mergeCell ref="B92:C92"/>
    <mergeCell ref="A98:B98"/>
    <mergeCell ref="A99:C99"/>
    <mergeCell ref="B100:C100"/>
    <mergeCell ref="A106:B106"/>
    <mergeCell ref="B107:C107"/>
    <mergeCell ref="A114:B114"/>
    <mergeCell ref="A115:C115"/>
    <mergeCell ref="B116:C116"/>
    <mergeCell ref="A121:B121"/>
    <mergeCell ref="B122:C122"/>
    <mergeCell ref="A129:B129"/>
    <mergeCell ref="A130:C130"/>
    <mergeCell ref="B131:C131"/>
    <mergeCell ref="A137:B137"/>
    <mergeCell ref="B138:C138"/>
    <mergeCell ref="A145:B145"/>
    <mergeCell ref="A146:C146"/>
    <mergeCell ref="B147:C147"/>
    <mergeCell ref="A153:B153"/>
    <mergeCell ref="B154:C154"/>
    <mergeCell ref="A161:B16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1:Z160"/>
  <sheetViews>
    <sheetView showFormulas="false" showGridLines="true" showRowColHeaders="true" showZeros="true" rightToLeft="false" tabSelected="false" showOutlineSymbols="true" defaultGridColor="true" view="normal" topLeftCell="A78" colorId="64" zoomScale="95" zoomScaleNormal="95" zoomScalePageLayoutView="100" workbookViewId="0">
      <selection pane="topLeft" activeCell="L99" activeCellId="0" sqref="L99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2" width="36.14"/>
    <col collapsed="false" customWidth="true" hidden="false" outlineLevel="0" max="3" min="3" style="1" width="11.29"/>
    <col collapsed="false" customWidth="true" hidden="false" outlineLevel="0" max="4" min="4" style="1" width="7.29"/>
    <col collapsed="false" customWidth="true" hidden="false" outlineLevel="0" max="5" min="5" style="1" width="7.71"/>
    <col collapsed="false" customWidth="true" hidden="false" outlineLevel="0" max="6" min="6" style="1" width="7.42"/>
    <col collapsed="false" customWidth="true" hidden="false" outlineLevel="0" max="7" min="7" style="1" width="11.57"/>
    <col collapsed="false" customWidth="false" hidden="false" outlineLevel="0" max="1024" min="8" style="3" width="9.14"/>
  </cols>
  <sheetData>
    <row r="1" customFormat="false" ht="12.75" hidden="false" customHeight="true" outlineLevel="0" collapsed="false">
      <c r="A1" s="4" t="s">
        <v>134</v>
      </c>
      <c r="B1" s="4"/>
      <c r="C1" s="4"/>
      <c r="D1" s="4"/>
      <c r="E1" s="4"/>
      <c r="F1" s="4"/>
      <c r="G1" s="4"/>
    </row>
    <row r="2" customFormat="false" ht="12.75" hidden="false" customHeight="false" outlineLevel="0" collapsed="false">
      <c r="A2" s="4"/>
      <c r="B2" s="4"/>
      <c r="C2" s="4"/>
      <c r="D2" s="4"/>
      <c r="E2" s="4"/>
      <c r="F2" s="4"/>
      <c r="G2" s="4"/>
    </row>
    <row r="3" customFormat="false" ht="25.5" hidden="false" customHeight="true" outlineLevel="0" collapsed="false">
      <c r="A3" s="5" t="s">
        <v>135</v>
      </c>
      <c r="B3" s="5"/>
      <c r="C3" s="5"/>
      <c r="D3" s="5"/>
      <c r="E3" s="5"/>
      <c r="F3" s="5"/>
      <c r="G3" s="5"/>
    </row>
    <row r="4" customFormat="false" ht="12.75" hidden="false" customHeight="false" outlineLevel="0" collapsed="false">
      <c r="A4" s="5"/>
      <c r="B4" s="5"/>
      <c r="C4" s="5"/>
      <c r="D4" s="5"/>
      <c r="E4" s="5"/>
      <c r="F4" s="5"/>
      <c r="G4" s="5"/>
    </row>
    <row r="5" customFormat="false" ht="33.75" hidden="false" customHeight="true" outlineLevel="0" collapsed="false">
      <c r="A5" s="6" t="s">
        <v>2</v>
      </c>
      <c r="B5" s="6" t="s">
        <v>3</v>
      </c>
      <c r="C5" s="6" t="s">
        <v>4</v>
      </c>
      <c r="D5" s="6" t="s">
        <v>5</v>
      </c>
      <c r="E5" s="6"/>
      <c r="F5" s="6"/>
      <c r="G5" s="6" t="s">
        <v>6</v>
      </c>
    </row>
    <row r="6" customFormat="false" ht="34.5" hidden="false" customHeight="true" outlineLevel="0" collapsed="false">
      <c r="A6" s="6"/>
      <c r="B6" s="6"/>
      <c r="C6" s="6"/>
      <c r="D6" s="6" t="s">
        <v>7</v>
      </c>
      <c r="E6" s="6" t="s">
        <v>8</v>
      </c>
      <c r="F6" s="6" t="s">
        <v>9</v>
      </c>
      <c r="G6" s="6"/>
    </row>
    <row r="7" customFormat="false" ht="12.75" hidden="false" customHeight="false" outlineLevel="0" collapsed="false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</row>
    <row r="8" customFormat="false" ht="27.95" hidden="false" customHeight="true" outlineLevel="0" collapsed="false">
      <c r="A8" s="7" t="s">
        <v>17</v>
      </c>
      <c r="B8" s="7"/>
      <c r="C8" s="7"/>
      <c r="D8" s="8" t="n">
        <f aca="false">D9+D19</f>
        <v>45.0654</v>
      </c>
      <c r="E8" s="8" t="n">
        <f aca="false">E9+E19</f>
        <v>52.5446</v>
      </c>
      <c r="F8" s="8" t="n">
        <f aca="false">F9+F19</f>
        <v>209.7361</v>
      </c>
      <c r="G8" s="8" t="n">
        <f aca="false">G9+G19</f>
        <v>1543.625</v>
      </c>
    </row>
    <row r="9" customFormat="false" ht="12.75" hidden="false" customHeight="false" outlineLevel="0" collapsed="false">
      <c r="A9" s="6"/>
      <c r="B9" s="7" t="s">
        <v>18</v>
      </c>
      <c r="C9" s="6"/>
      <c r="D9" s="8" t="n">
        <f aca="false">D10+D11+D12+D13+D14+D15</f>
        <v>18.1125</v>
      </c>
      <c r="E9" s="8" t="n">
        <f aca="false">E10+E11+E12+E13+E14+E15</f>
        <v>22.4825</v>
      </c>
      <c r="F9" s="8" t="n">
        <f aca="false">F10+F11+F12+F13+F14+F15</f>
        <v>106.6675</v>
      </c>
      <c r="G9" s="8" t="n">
        <f aca="false">G10+G11+G12+G13+G14+G15</f>
        <v>726.65</v>
      </c>
    </row>
    <row r="10" customFormat="false" ht="12.75" hidden="false" customHeight="false" outlineLevel="0" collapsed="false">
      <c r="A10" s="9" t="s">
        <v>19</v>
      </c>
      <c r="B10" s="10" t="s">
        <v>20</v>
      </c>
      <c r="C10" s="9" t="n">
        <v>10</v>
      </c>
      <c r="D10" s="11" t="n">
        <v>2.6</v>
      </c>
      <c r="E10" s="11" t="n">
        <v>2.65</v>
      </c>
      <c r="F10" s="11" t="n">
        <v>0.35</v>
      </c>
      <c r="G10" s="11" t="n">
        <v>36.24</v>
      </c>
    </row>
    <row r="11" customFormat="false" ht="12.75" hidden="false" customHeight="false" outlineLevel="0" collapsed="false">
      <c r="A11" s="9" t="s">
        <v>21</v>
      </c>
      <c r="B11" s="10" t="s">
        <v>22</v>
      </c>
      <c r="C11" s="9" t="n">
        <v>5</v>
      </c>
      <c r="D11" s="11" t="n">
        <v>0.05</v>
      </c>
      <c r="E11" s="11" t="n">
        <v>3.63</v>
      </c>
      <c r="F11" s="11" t="n">
        <v>0.07</v>
      </c>
      <c r="G11" s="11" t="n">
        <v>33.11</v>
      </c>
    </row>
    <row r="12" customFormat="false" ht="25.5" hidden="false" customHeight="false" outlineLevel="0" collapsed="false">
      <c r="A12" s="9" t="s">
        <v>23</v>
      </c>
      <c r="B12" s="10" t="s">
        <v>24</v>
      </c>
      <c r="C12" s="9" t="n">
        <v>255</v>
      </c>
      <c r="D12" s="11" t="n">
        <f aca="false">6.81*1.25</f>
        <v>8.5125</v>
      </c>
      <c r="E12" s="11" t="n">
        <f aca="false">10.45*1.25</f>
        <v>13.0625</v>
      </c>
      <c r="F12" s="11" t="n">
        <f aca="false">29.51*1.25</f>
        <v>36.8875</v>
      </c>
      <c r="G12" s="11" t="n">
        <f aca="false">246.6*1.25</f>
        <v>308.25</v>
      </c>
    </row>
    <row r="13" customFormat="false" ht="12.75" hidden="false" customHeight="false" outlineLevel="0" collapsed="false">
      <c r="A13" s="9"/>
      <c r="B13" s="10" t="s">
        <v>25</v>
      </c>
      <c r="C13" s="9" t="n">
        <v>40</v>
      </c>
      <c r="D13" s="11" t="n">
        <v>1.92</v>
      </c>
      <c r="E13" s="11" t="n">
        <v>1.12</v>
      </c>
      <c r="F13" s="11" t="n">
        <v>31.08</v>
      </c>
      <c r="G13" s="11" t="n">
        <v>148.68</v>
      </c>
    </row>
    <row r="14" customFormat="false" ht="12.75" hidden="false" customHeight="false" outlineLevel="0" collapsed="false">
      <c r="A14" s="9" t="s">
        <v>26</v>
      </c>
      <c r="B14" s="10" t="s">
        <v>27</v>
      </c>
      <c r="C14" s="9" t="n">
        <v>200</v>
      </c>
      <c r="D14" s="11" t="n">
        <v>1.99</v>
      </c>
      <c r="E14" s="11" t="n">
        <v>1.7</v>
      </c>
      <c r="F14" s="11" t="n">
        <v>18.6</v>
      </c>
      <c r="G14" s="11" t="n">
        <v>102.03</v>
      </c>
    </row>
    <row r="15" customFormat="false" ht="12.75" hidden="false" customHeight="false" outlineLevel="0" collapsed="false">
      <c r="A15" s="9"/>
      <c r="B15" s="10" t="s">
        <v>28</v>
      </c>
      <c r="C15" s="9" t="n">
        <v>40</v>
      </c>
      <c r="D15" s="11" t="n">
        <v>3.04</v>
      </c>
      <c r="E15" s="11" t="n">
        <v>0.32</v>
      </c>
      <c r="F15" s="11" t="n">
        <v>19.68</v>
      </c>
      <c r="G15" s="11" t="n">
        <v>98.34</v>
      </c>
    </row>
    <row r="16" customFormat="false" ht="12.75" hidden="true" customHeight="false" outlineLevel="0" collapsed="false">
      <c r="A16" s="12"/>
      <c r="B16" s="10"/>
      <c r="C16" s="12"/>
      <c r="D16" s="11"/>
      <c r="E16" s="11"/>
      <c r="F16" s="11"/>
      <c r="G16" s="11"/>
    </row>
    <row r="17" customFormat="false" ht="12.75" hidden="true" customHeight="false" outlineLevel="0" collapsed="false">
      <c r="A17" s="9"/>
      <c r="B17" s="10"/>
      <c r="C17" s="9"/>
      <c r="D17" s="11"/>
      <c r="E17" s="11"/>
      <c r="F17" s="11"/>
      <c r="G17" s="11"/>
    </row>
    <row r="18" customFormat="false" ht="12.75" hidden="false" customHeight="true" outlineLevel="0" collapsed="false">
      <c r="A18" s="13" t="s">
        <v>29</v>
      </c>
      <c r="B18" s="13"/>
      <c r="C18" s="6" t="n">
        <f aca="false">SUM(C10:C17)</f>
        <v>550</v>
      </c>
      <c r="D18" s="11"/>
      <c r="E18" s="11"/>
      <c r="F18" s="11"/>
      <c r="G18" s="11"/>
    </row>
    <row r="19" customFormat="false" ht="12.75" hidden="false" customHeight="false" outlineLevel="0" collapsed="false">
      <c r="A19" s="9"/>
      <c r="B19" s="7" t="s">
        <v>81</v>
      </c>
      <c r="C19" s="6"/>
      <c r="D19" s="8" t="n">
        <f aca="false">D20+D21+D22+D23+D24</f>
        <v>26.9529</v>
      </c>
      <c r="E19" s="8" t="n">
        <f aca="false">E20+E21+E22+E23+E24</f>
        <v>30.0621</v>
      </c>
      <c r="F19" s="8" t="n">
        <f aca="false">F20+F21+F22+F23+F24</f>
        <v>103.0686</v>
      </c>
      <c r="G19" s="8" t="n">
        <f aca="false">G20+G21+G22+G23+G24</f>
        <v>816.975</v>
      </c>
    </row>
    <row r="20" customFormat="false" ht="12.75" hidden="false" customHeight="false" outlineLevel="0" collapsed="false">
      <c r="A20" s="9" t="s">
        <v>82</v>
      </c>
      <c r="B20" s="10" t="s">
        <v>83</v>
      </c>
      <c r="C20" s="9" t="n">
        <v>100</v>
      </c>
      <c r="D20" s="11" t="n">
        <f aca="false">0.94*1.66</f>
        <v>1.5604</v>
      </c>
      <c r="E20" s="11" t="n">
        <f aca="false">4.06*1.66</f>
        <v>6.7396</v>
      </c>
      <c r="F20" s="11" t="n">
        <f aca="false">5.96*1.66</f>
        <v>9.8936</v>
      </c>
      <c r="G20" s="11" t="n">
        <v>108.76</v>
      </c>
    </row>
    <row r="21" customFormat="false" ht="15" hidden="false" customHeight="true" outlineLevel="0" collapsed="false">
      <c r="A21" s="9" t="s">
        <v>84</v>
      </c>
      <c r="B21" s="10" t="s">
        <v>85</v>
      </c>
      <c r="C21" s="9" t="n">
        <v>255</v>
      </c>
      <c r="D21" s="11" t="n">
        <f aca="false">3.09*1.25</f>
        <v>3.8625</v>
      </c>
      <c r="E21" s="11" t="n">
        <f aca="false">4.61*1.25</f>
        <v>5.7625</v>
      </c>
      <c r="F21" s="11" t="n">
        <f aca="false">12.54*1.25</f>
        <v>15.675</v>
      </c>
      <c r="G21" s="11" t="n">
        <f aca="false">107.36*1.25</f>
        <v>134.2</v>
      </c>
    </row>
    <row r="22" customFormat="false" ht="12.75" hidden="false" customHeight="false" outlineLevel="0" collapsed="false">
      <c r="A22" s="9" t="s">
        <v>46</v>
      </c>
      <c r="B22" s="10" t="s">
        <v>47</v>
      </c>
      <c r="C22" s="9" t="n">
        <v>200</v>
      </c>
      <c r="D22" s="11" t="n">
        <v>17.73</v>
      </c>
      <c r="E22" s="11" t="n">
        <v>17.16</v>
      </c>
      <c r="F22" s="11" t="n">
        <v>42.9</v>
      </c>
      <c r="G22" s="11" t="n">
        <v>409.09</v>
      </c>
    </row>
    <row r="23" customFormat="false" ht="12.75" hidden="false" customHeight="false" outlineLevel="0" collapsed="false">
      <c r="A23" s="9" t="s">
        <v>35</v>
      </c>
      <c r="B23" s="10" t="s">
        <v>36</v>
      </c>
      <c r="C23" s="9" t="n">
        <v>200</v>
      </c>
      <c r="D23" s="11" t="n">
        <v>0</v>
      </c>
      <c r="E23" s="11" t="n">
        <v>0</v>
      </c>
      <c r="F23" s="11" t="n">
        <v>10</v>
      </c>
      <c r="G23" s="11" t="n">
        <v>42</v>
      </c>
    </row>
    <row r="24" customFormat="false" ht="12.75" hidden="false" customHeight="false" outlineLevel="0" collapsed="false">
      <c r="A24" s="9"/>
      <c r="B24" s="10" t="s">
        <v>28</v>
      </c>
      <c r="C24" s="9" t="n">
        <v>50</v>
      </c>
      <c r="D24" s="11" t="n">
        <f aca="false">3.04*1.25</f>
        <v>3.8</v>
      </c>
      <c r="E24" s="11" t="n">
        <f aca="false">0.32*1.25</f>
        <v>0.4</v>
      </c>
      <c r="F24" s="11" t="n">
        <f aca="false">19.68*1.25</f>
        <v>24.6</v>
      </c>
      <c r="G24" s="11" t="n">
        <f aca="false">98.34*1.25</f>
        <v>122.925</v>
      </c>
    </row>
    <row r="25" customFormat="false" ht="12.75" hidden="false" customHeight="true" outlineLevel="0" collapsed="false">
      <c r="A25" s="13" t="s">
        <v>29</v>
      </c>
      <c r="B25" s="13"/>
      <c r="C25" s="6" t="n">
        <f aca="false">SUM(C20:C24)</f>
        <v>805</v>
      </c>
      <c r="D25" s="11"/>
      <c r="E25" s="11"/>
      <c r="F25" s="11"/>
      <c r="G25" s="11"/>
    </row>
    <row r="26" customFormat="false" ht="27.95" hidden="false" customHeight="true" outlineLevel="0" collapsed="false">
      <c r="A26" s="7" t="s">
        <v>30</v>
      </c>
      <c r="B26" s="7"/>
      <c r="C26" s="7"/>
      <c r="D26" s="8" t="n">
        <f aca="false">D27+D33</f>
        <v>45.60244</v>
      </c>
      <c r="E26" s="8" t="n">
        <f aca="false">E27+E33</f>
        <v>49.96346</v>
      </c>
      <c r="F26" s="8" t="n">
        <f aca="false">F27+F33</f>
        <v>220.72628</v>
      </c>
      <c r="G26" s="8" t="n">
        <f aca="false">G27+G33</f>
        <v>1570.7135</v>
      </c>
    </row>
    <row r="27" customFormat="false" ht="12.75" hidden="false" customHeight="false" outlineLevel="0" collapsed="false">
      <c r="A27" s="6"/>
      <c r="B27" s="7" t="s">
        <v>18</v>
      </c>
      <c r="C27" s="6"/>
      <c r="D27" s="8" t="n">
        <f aca="false">D28+D29+D30+D31</f>
        <v>17.3025</v>
      </c>
      <c r="E27" s="8" t="n">
        <f aca="false">E28+E29+E30+E31</f>
        <v>13.0875</v>
      </c>
      <c r="F27" s="8" t="n">
        <f aca="false">F28+F29+F30+F31</f>
        <v>116.4575</v>
      </c>
      <c r="G27" s="8" t="n">
        <f aca="false">G28+G29+G30+G31</f>
        <v>681.25</v>
      </c>
    </row>
    <row r="28" customFormat="false" ht="25.5" hidden="false" customHeight="false" outlineLevel="0" collapsed="false">
      <c r="A28" s="9" t="s">
        <v>23</v>
      </c>
      <c r="B28" s="10" t="s">
        <v>136</v>
      </c>
      <c r="C28" s="9" t="n">
        <v>253</v>
      </c>
      <c r="D28" s="11" t="n">
        <f aca="false">7.81*1.25</f>
        <v>9.7625</v>
      </c>
      <c r="E28" s="11" t="n">
        <f aca="false">4.55*1.25</f>
        <v>5.6875</v>
      </c>
      <c r="F28" s="11" t="n">
        <f aca="false">33.47*1.25</f>
        <v>41.8375</v>
      </c>
      <c r="G28" s="11" t="n">
        <v>267.91</v>
      </c>
    </row>
    <row r="29" customFormat="false" ht="12.75" hidden="false" customHeight="false" outlineLevel="0" collapsed="false">
      <c r="A29" s="9"/>
      <c r="B29" s="10" t="s">
        <v>60</v>
      </c>
      <c r="C29" s="9" t="n">
        <v>60</v>
      </c>
      <c r="D29" s="11" t="n">
        <f aca="false">1.5*3</f>
        <v>4.5</v>
      </c>
      <c r="E29" s="11" t="n">
        <f aca="false">2.36*3</f>
        <v>7.08</v>
      </c>
      <c r="F29" s="11" t="n">
        <f aca="false">14.98*3</f>
        <v>44.94</v>
      </c>
      <c r="G29" s="11" t="n">
        <f aca="false">91*3</f>
        <v>273</v>
      </c>
    </row>
    <row r="30" customFormat="false" ht="12.75" hidden="false" customHeight="false" outlineLevel="0" collapsed="false">
      <c r="A30" s="9" t="s">
        <v>35</v>
      </c>
      <c r="B30" s="10" t="s">
        <v>36</v>
      </c>
      <c r="C30" s="9" t="n">
        <v>200</v>
      </c>
      <c r="D30" s="11" t="n">
        <v>0</v>
      </c>
      <c r="E30" s="11" t="n">
        <v>0</v>
      </c>
      <c r="F30" s="11" t="n">
        <v>10</v>
      </c>
      <c r="G30" s="11" t="n">
        <v>42</v>
      </c>
    </row>
    <row r="31" customFormat="false" ht="12.75" hidden="false" customHeight="false" outlineLevel="0" collapsed="false">
      <c r="A31" s="9"/>
      <c r="B31" s="10" t="s">
        <v>28</v>
      </c>
      <c r="C31" s="9" t="n">
        <v>40</v>
      </c>
      <c r="D31" s="11" t="n">
        <v>3.04</v>
      </c>
      <c r="E31" s="11" t="n">
        <v>0.32</v>
      </c>
      <c r="F31" s="11" t="n">
        <v>19.68</v>
      </c>
      <c r="G31" s="11" t="n">
        <v>98.34</v>
      </c>
    </row>
    <row r="32" customFormat="false" ht="12.75" hidden="false" customHeight="true" outlineLevel="0" collapsed="false">
      <c r="A32" s="13" t="s">
        <v>29</v>
      </c>
      <c r="B32" s="13"/>
      <c r="C32" s="6" t="n">
        <f aca="false">SUM(C28:C31)</f>
        <v>553</v>
      </c>
      <c r="D32" s="11"/>
      <c r="E32" s="11"/>
      <c r="F32" s="11"/>
      <c r="G32" s="11"/>
    </row>
    <row r="33" customFormat="false" ht="12.75" hidden="false" customHeight="false" outlineLevel="0" collapsed="false">
      <c r="A33" s="9"/>
      <c r="B33" s="7" t="s">
        <v>81</v>
      </c>
      <c r="C33" s="6"/>
      <c r="D33" s="8" t="n">
        <f aca="false">D34+D35+D36+D37+D38+D39</f>
        <v>28.29994</v>
      </c>
      <c r="E33" s="8" t="n">
        <f aca="false">E34+E35+E36+E37+E38+E39</f>
        <v>36.87596</v>
      </c>
      <c r="F33" s="8" t="n">
        <f aca="false">F34+F35+F36+F37+F38+F39</f>
        <v>104.26878</v>
      </c>
      <c r="G33" s="8" t="n">
        <f aca="false">G34+G35+G36+G37+G38+G39</f>
        <v>889.4635</v>
      </c>
    </row>
    <row r="34" customFormat="false" ht="12.75" hidden="false" customHeight="false" outlineLevel="0" collapsed="false">
      <c r="A34" s="9" t="s">
        <v>86</v>
      </c>
      <c r="B34" s="10" t="s">
        <v>87</v>
      </c>
      <c r="C34" s="9" t="n">
        <v>100</v>
      </c>
      <c r="D34" s="11" t="n">
        <f aca="false">0.84*1.666</f>
        <v>1.39944</v>
      </c>
      <c r="E34" s="11" t="n">
        <f aca="false">3.06*1.666</f>
        <v>5.09796</v>
      </c>
      <c r="F34" s="11" t="n">
        <f aca="false">6.83*1.666</f>
        <v>11.37878</v>
      </c>
      <c r="G34" s="11" t="n">
        <f aca="false">59.75*1.666</f>
        <v>99.5435</v>
      </c>
    </row>
    <row r="35" customFormat="false" ht="25.5" hidden="false" customHeight="false" outlineLevel="0" collapsed="false">
      <c r="A35" s="9" t="s">
        <v>88</v>
      </c>
      <c r="B35" s="10" t="s">
        <v>89</v>
      </c>
      <c r="C35" s="9" t="n">
        <v>255</v>
      </c>
      <c r="D35" s="11" t="n">
        <f aca="false">2.57*1.25</f>
        <v>3.2125</v>
      </c>
      <c r="E35" s="11" t="n">
        <f aca="false">9.24*1.25</f>
        <v>11.55</v>
      </c>
      <c r="F35" s="11" t="n">
        <f aca="false">18.04*1.25</f>
        <v>22.55</v>
      </c>
      <c r="G35" s="11" t="n">
        <f aca="false">169.72*1.25</f>
        <v>212.15</v>
      </c>
    </row>
    <row r="36" customFormat="false" ht="12.75" hidden="false" customHeight="false" outlineLevel="0" collapsed="false">
      <c r="A36" s="9" t="s">
        <v>90</v>
      </c>
      <c r="B36" s="10" t="s">
        <v>91</v>
      </c>
      <c r="C36" s="9" t="n">
        <v>100</v>
      </c>
      <c r="D36" s="11" t="n">
        <v>14.25</v>
      </c>
      <c r="E36" s="11" t="n">
        <v>16.66</v>
      </c>
      <c r="F36" s="11" t="n">
        <v>5.27</v>
      </c>
      <c r="G36" s="11" t="n">
        <v>232</v>
      </c>
    </row>
    <row r="37" customFormat="false" ht="12.75" hidden="false" customHeight="false" outlineLevel="0" collapsed="false">
      <c r="A37" s="9" t="s">
        <v>51</v>
      </c>
      <c r="B37" s="10" t="s">
        <v>52</v>
      </c>
      <c r="C37" s="9" t="n">
        <v>180</v>
      </c>
      <c r="D37" s="11" t="n">
        <f aca="false">5.64*1.2</f>
        <v>6.768</v>
      </c>
      <c r="E37" s="11" t="n">
        <f aca="false">2.84*1.2</f>
        <v>3.408</v>
      </c>
      <c r="F37" s="11" t="n">
        <f aca="false">36*1.2</f>
        <v>43.2</v>
      </c>
      <c r="G37" s="11" t="n">
        <f aca="false">201*1.2</f>
        <v>241.2</v>
      </c>
    </row>
    <row r="38" customFormat="false" ht="12.75" hidden="false" customHeight="false" outlineLevel="0" collapsed="false">
      <c r="A38" s="9" t="s">
        <v>42</v>
      </c>
      <c r="B38" s="10" t="s">
        <v>70</v>
      </c>
      <c r="C38" s="9" t="n">
        <v>200</v>
      </c>
      <c r="D38" s="11" t="n">
        <v>1.15</v>
      </c>
      <c r="E38" s="11"/>
      <c r="F38" s="11" t="n">
        <v>12.03</v>
      </c>
      <c r="G38" s="11" t="n">
        <v>55.4</v>
      </c>
    </row>
    <row r="39" customFormat="false" ht="12.75" hidden="false" customHeight="false" outlineLevel="0" collapsed="false">
      <c r="A39" s="9"/>
      <c r="B39" s="10" t="s">
        <v>28</v>
      </c>
      <c r="C39" s="9" t="n">
        <v>20</v>
      </c>
      <c r="D39" s="11" t="n">
        <v>1.52</v>
      </c>
      <c r="E39" s="11" t="n">
        <v>0.16</v>
      </c>
      <c r="F39" s="11" t="n">
        <v>9.84</v>
      </c>
      <c r="G39" s="11" t="n">
        <v>49.17</v>
      </c>
    </row>
    <row r="40" customFormat="false" ht="12.75" hidden="false" customHeight="true" outlineLevel="0" collapsed="false">
      <c r="A40" s="13" t="s">
        <v>29</v>
      </c>
      <c r="B40" s="13"/>
      <c r="C40" s="6" t="n">
        <f aca="false">SUM(C34:C39)</f>
        <v>855</v>
      </c>
      <c r="D40" s="11"/>
      <c r="E40" s="11"/>
      <c r="F40" s="11"/>
      <c r="G40" s="11"/>
    </row>
    <row r="41" customFormat="false" ht="27.95" hidden="false" customHeight="true" outlineLevel="0" collapsed="false">
      <c r="A41" s="7" t="s">
        <v>37</v>
      </c>
      <c r="B41" s="7"/>
      <c r="C41" s="7"/>
      <c r="D41" s="8" t="n">
        <f aca="false">D42+D48</f>
        <v>43.6671</v>
      </c>
      <c r="E41" s="8" t="n">
        <f aca="false">E42+E48</f>
        <v>40.7786</v>
      </c>
      <c r="F41" s="8" t="n">
        <f aca="false">F42+F48</f>
        <v>221.2924</v>
      </c>
      <c r="G41" s="8" t="n">
        <f aca="false">G42+G48</f>
        <v>1480.485</v>
      </c>
    </row>
    <row r="42" customFormat="false" ht="12.75" hidden="false" customHeight="false" outlineLevel="0" collapsed="false">
      <c r="A42" s="6"/>
      <c r="B42" s="7" t="s">
        <v>18</v>
      </c>
      <c r="C42" s="6"/>
      <c r="D42" s="8" t="n">
        <f aca="false">D43+D44+D45+D46</f>
        <v>13.68</v>
      </c>
      <c r="E42" s="8" t="n">
        <f aca="false">E43+E44+E45+E46</f>
        <v>8.5</v>
      </c>
      <c r="F42" s="8" t="n">
        <f aca="false">F43+F44+F45+F46</f>
        <v>101.5</v>
      </c>
      <c r="G42" s="8" t="n">
        <f aca="false">G43+G44+G45+G46</f>
        <v>560.125</v>
      </c>
    </row>
    <row r="43" customFormat="false" ht="12.75" hidden="false" customHeight="false" outlineLevel="0" collapsed="false">
      <c r="A43" s="9"/>
      <c r="B43" s="10" t="s">
        <v>45</v>
      </c>
      <c r="C43" s="9" t="n">
        <v>100</v>
      </c>
      <c r="D43" s="11" t="n">
        <v>0.4</v>
      </c>
      <c r="E43" s="11" t="n">
        <v>0</v>
      </c>
      <c r="F43" s="11" t="n">
        <v>9.8</v>
      </c>
      <c r="G43" s="11" t="n">
        <v>42.84</v>
      </c>
    </row>
    <row r="44" customFormat="false" ht="25.5" hidden="false" customHeight="false" outlineLevel="0" collapsed="false">
      <c r="A44" s="9" t="s">
        <v>23</v>
      </c>
      <c r="B44" s="10" t="s">
        <v>137</v>
      </c>
      <c r="C44" s="9" t="n">
        <v>203</v>
      </c>
      <c r="D44" s="11" t="n">
        <v>8.48</v>
      </c>
      <c r="E44" s="11" t="n">
        <v>8</v>
      </c>
      <c r="F44" s="11" t="n">
        <v>36.1</v>
      </c>
      <c r="G44" s="11" t="n">
        <v>259.36</v>
      </c>
    </row>
    <row r="45" customFormat="false" ht="21.75" hidden="false" customHeight="true" outlineLevel="0" collapsed="false">
      <c r="A45" s="9" t="s">
        <v>42</v>
      </c>
      <c r="B45" s="10" t="s">
        <v>43</v>
      </c>
      <c r="C45" s="9" t="n">
        <v>200</v>
      </c>
      <c r="D45" s="11" t="n">
        <v>1</v>
      </c>
      <c r="E45" s="11" t="n">
        <v>0.1</v>
      </c>
      <c r="F45" s="11" t="n">
        <v>31</v>
      </c>
      <c r="G45" s="11" t="n">
        <v>135</v>
      </c>
    </row>
    <row r="46" customFormat="false" ht="12.75" hidden="false" customHeight="false" outlineLevel="0" collapsed="false">
      <c r="A46" s="9"/>
      <c r="B46" s="10" t="s">
        <v>28</v>
      </c>
      <c r="C46" s="9" t="n">
        <v>50</v>
      </c>
      <c r="D46" s="11" t="n">
        <f aca="false">3.04*1.25</f>
        <v>3.8</v>
      </c>
      <c r="E46" s="11" t="n">
        <f aca="false">0.32*1.25</f>
        <v>0.4</v>
      </c>
      <c r="F46" s="11" t="n">
        <f aca="false">19.68*1.25</f>
        <v>24.6</v>
      </c>
      <c r="G46" s="11" t="n">
        <f aca="false">98.34*1.25</f>
        <v>122.925</v>
      </c>
    </row>
    <row r="47" customFormat="false" ht="12.75" hidden="false" customHeight="true" outlineLevel="0" collapsed="false">
      <c r="A47" s="13" t="s">
        <v>29</v>
      </c>
      <c r="B47" s="13"/>
      <c r="C47" s="6" t="n">
        <f aca="false">SUM(C43:C46)</f>
        <v>553</v>
      </c>
      <c r="D47" s="11"/>
      <c r="E47" s="11"/>
      <c r="F47" s="11"/>
      <c r="G47" s="11"/>
    </row>
    <row r="48" customFormat="false" ht="12.75" hidden="false" customHeight="false" outlineLevel="0" collapsed="false">
      <c r="A48" s="9"/>
      <c r="B48" s="7" t="s">
        <v>81</v>
      </c>
      <c r="C48" s="6"/>
      <c r="D48" s="8" t="n">
        <f aca="false">D49+D50+D51+D52+D53+D54</f>
        <v>29.9871</v>
      </c>
      <c r="E48" s="8" t="n">
        <f aca="false">E49+E50+E51+E52+E53+E54</f>
        <v>32.2786</v>
      </c>
      <c r="F48" s="8" t="n">
        <f aca="false">F49+F50+F51+F52+F53+F54</f>
        <v>119.7924</v>
      </c>
      <c r="G48" s="8" t="n">
        <f aca="false">G49+G50+G51+G52+G53+G54</f>
        <v>920.36</v>
      </c>
    </row>
    <row r="49" customFormat="false" ht="12.75" hidden="false" customHeight="false" outlineLevel="0" collapsed="false">
      <c r="A49" s="9" t="s">
        <v>92</v>
      </c>
      <c r="B49" s="10" t="s">
        <v>93</v>
      </c>
      <c r="C49" s="9" t="n">
        <v>100</v>
      </c>
      <c r="D49" s="11" t="n">
        <f aca="false">1.21*1.67</f>
        <v>2.0207</v>
      </c>
      <c r="E49" s="11" t="n">
        <f aca="false">6.2*1.67</f>
        <v>10.354</v>
      </c>
      <c r="F49" s="11" t="n">
        <f aca="false">12.33*1.67</f>
        <v>20.5911</v>
      </c>
      <c r="G49" s="11" t="n">
        <f aca="false">113*1.67</f>
        <v>188.71</v>
      </c>
    </row>
    <row r="50" customFormat="false" ht="25.5" hidden="false" customHeight="false" outlineLevel="0" collapsed="false">
      <c r="A50" s="9" t="s">
        <v>94</v>
      </c>
      <c r="B50" s="10" t="s">
        <v>95</v>
      </c>
      <c r="C50" s="9" t="n">
        <v>260</v>
      </c>
      <c r="D50" s="11" t="n">
        <f aca="false">2.64*1.25</f>
        <v>3.3</v>
      </c>
      <c r="E50" s="11" t="n">
        <f aca="false">3.56*1.25</f>
        <v>4.45</v>
      </c>
      <c r="F50" s="11" t="n">
        <f aca="false">11.76*1.25</f>
        <v>14.7</v>
      </c>
      <c r="G50" s="11" t="n">
        <f aca="false">93*1.25</f>
        <v>116.25</v>
      </c>
    </row>
    <row r="51" customFormat="false" ht="12.75" hidden="false" customHeight="false" outlineLevel="0" collapsed="false">
      <c r="A51" s="9" t="s">
        <v>96</v>
      </c>
      <c r="B51" s="10" t="s">
        <v>97</v>
      </c>
      <c r="C51" s="9" t="n">
        <v>100</v>
      </c>
      <c r="D51" s="11" t="n">
        <f aca="false">11.84*1.11</f>
        <v>13.1424</v>
      </c>
      <c r="E51" s="11" t="n">
        <f aca="false">10.06*1.11</f>
        <v>11.1666</v>
      </c>
      <c r="F51" s="11" t="n">
        <f aca="false">16.03*1.11</f>
        <v>17.7933</v>
      </c>
      <c r="G51" s="11" t="n">
        <f aca="false">208*1.11</f>
        <v>230.88</v>
      </c>
    </row>
    <row r="52" customFormat="false" ht="12.75" hidden="false" customHeight="false" outlineLevel="0" collapsed="false">
      <c r="A52" s="9" t="s">
        <v>98</v>
      </c>
      <c r="B52" s="10" t="s">
        <v>99</v>
      </c>
      <c r="C52" s="9" t="n">
        <v>180</v>
      </c>
      <c r="D52" s="11" t="n">
        <f aca="false">8.77*1.2</f>
        <v>10.524</v>
      </c>
      <c r="E52" s="11" t="n">
        <f aca="false">5.19*1.2</f>
        <v>6.228</v>
      </c>
      <c r="F52" s="11" t="n">
        <f aca="false">39.6*1.23</f>
        <v>48.708</v>
      </c>
      <c r="G52" s="11" t="n">
        <v>304</v>
      </c>
    </row>
    <row r="53" customFormat="false" ht="12.75" hidden="false" customHeight="false" outlineLevel="0" collapsed="false">
      <c r="A53" s="9" t="s">
        <v>35</v>
      </c>
      <c r="B53" s="10" t="s">
        <v>36</v>
      </c>
      <c r="C53" s="9" t="n">
        <v>200</v>
      </c>
      <c r="D53" s="11" t="n">
        <v>0</v>
      </c>
      <c r="E53" s="11" t="n">
        <v>0</v>
      </c>
      <c r="F53" s="11" t="n">
        <v>10</v>
      </c>
      <c r="G53" s="11" t="n">
        <v>42</v>
      </c>
    </row>
    <row r="54" customFormat="false" ht="12.75" hidden="false" customHeight="false" outlineLevel="0" collapsed="false">
      <c r="A54" s="9"/>
      <c r="B54" s="10" t="s">
        <v>100</v>
      </c>
      <c r="C54" s="9" t="n">
        <v>20</v>
      </c>
      <c r="D54" s="11" t="n">
        <v>1</v>
      </c>
      <c r="E54" s="11" t="n">
        <v>0.08</v>
      </c>
      <c r="F54" s="11" t="n">
        <v>8</v>
      </c>
      <c r="G54" s="11" t="n">
        <v>38.52</v>
      </c>
    </row>
    <row r="55" customFormat="false" ht="12.75" hidden="false" customHeight="true" outlineLevel="0" collapsed="false">
      <c r="A55" s="13" t="s">
        <v>29</v>
      </c>
      <c r="B55" s="13"/>
      <c r="C55" s="6" t="n">
        <f aca="false">SUM(C49:C54)</f>
        <v>860</v>
      </c>
      <c r="D55" s="11"/>
      <c r="E55" s="11"/>
      <c r="F55" s="11"/>
      <c r="G55" s="11"/>
    </row>
    <row r="56" customFormat="false" ht="27.95" hidden="false" customHeight="true" outlineLevel="0" collapsed="false">
      <c r="A56" s="7" t="s">
        <v>44</v>
      </c>
      <c r="B56" s="7"/>
      <c r="C56" s="7"/>
      <c r="D56" s="8" t="n">
        <f aca="false">D57+D63</f>
        <v>47.5185</v>
      </c>
      <c r="E56" s="8" t="n">
        <f aca="false">E57+E63</f>
        <v>46.3862</v>
      </c>
      <c r="F56" s="8" t="n">
        <f aca="false">F57+F63</f>
        <v>205.7038</v>
      </c>
      <c r="G56" s="8" t="n">
        <f aca="false">G57+G63</f>
        <v>1482.376</v>
      </c>
    </row>
    <row r="57" customFormat="false" ht="12.75" hidden="false" customHeight="false" outlineLevel="0" collapsed="false">
      <c r="A57" s="6"/>
      <c r="B57" s="7" t="s">
        <v>18</v>
      </c>
      <c r="C57" s="6"/>
      <c r="D57" s="8" t="n">
        <f aca="false">D58+D59+D60+D61</f>
        <v>17.025</v>
      </c>
      <c r="E57" s="8" t="n">
        <f aca="false">E58+E59+E60+E61</f>
        <v>9.4225</v>
      </c>
      <c r="F57" s="8" t="n">
        <f aca="false">F58+F59+F60+F61</f>
        <v>111.12</v>
      </c>
      <c r="G57" s="8" t="n">
        <f aca="false">G58+G59+G60+G61</f>
        <v>623.05</v>
      </c>
    </row>
    <row r="58" customFormat="false" ht="12.75" hidden="false" customHeight="false" outlineLevel="0" collapsed="false">
      <c r="A58" s="9" t="s">
        <v>138</v>
      </c>
      <c r="B58" s="10" t="s">
        <v>139</v>
      </c>
      <c r="C58" s="9" t="n">
        <v>60</v>
      </c>
      <c r="D58" s="11" t="n">
        <v>4.91</v>
      </c>
      <c r="E58" s="11" t="n">
        <v>3.79</v>
      </c>
      <c r="F58" s="11" t="n">
        <v>36.09</v>
      </c>
      <c r="G58" s="11" t="n">
        <v>206.31</v>
      </c>
    </row>
    <row r="59" customFormat="false" ht="25.5" hidden="false" customHeight="false" outlineLevel="0" collapsed="false">
      <c r="A59" s="9" t="s">
        <v>23</v>
      </c>
      <c r="B59" s="10" t="s">
        <v>140</v>
      </c>
      <c r="C59" s="9" t="n">
        <v>253</v>
      </c>
      <c r="D59" s="11" t="n">
        <f aca="false">7.26*1.25</f>
        <v>9.075</v>
      </c>
      <c r="E59" s="11" t="n">
        <f aca="false">4.25*1.25</f>
        <v>5.3125</v>
      </c>
      <c r="F59" s="11" t="n">
        <f aca="false">36.28*1.25</f>
        <v>45.35</v>
      </c>
      <c r="G59" s="11" t="n">
        <v>276.4</v>
      </c>
    </row>
    <row r="60" customFormat="false" ht="12.75" hidden="false" customHeight="false" outlineLevel="0" collapsed="false">
      <c r="A60" s="9" t="s">
        <v>35</v>
      </c>
      <c r="B60" s="10" t="s">
        <v>36</v>
      </c>
      <c r="C60" s="9" t="n">
        <v>200</v>
      </c>
      <c r="D60" s="11" t="n">
        <v>0</v>
      </c>
      <c r="E60" s="11" t="n">
        <v>0</v>
      </c>
      <c r="F60" s="11" t="n">
        <v>10</v>
      </c>
      <c r="G60" s="11" t="n">
        <v>42</v>
      </c>
    </row>
    <row r="61" customFormat="false" ht="15" hidden="false" customHeight="true" outlineLevel="0" collapsed="false">
      <c r="A61" s="9"/>
      <c r="B61" s="10" t="s">
        <v>28</v>
      </c>
      <c r="C61" s="9" t="n">
        <v>40</v>
      </c>
      <c r="D61" s="11" t="n">
        <v>3.04</v>
      </c>
      <c r="E61" s="11" t="n">
        <v>0.32</v>
      </c>
      <c r="F61" s="11" t="n">
        <v>19.68</v>
      </c>
      <c r="G61" s="11" t="n">
        <v>98.34</v>
      </c>
    </row>
    <row r="62" customFormat="false" ht="15" hidden="false" customHeight="true" outlineLevel="0" collapsed="false">
      <c r="A62" s="13" t="s">
        <v>29</v>
      </c>
      <c r="B62" s="13"/>
      <c r="C62" s="6" t="n">
        <f aca="false">SUM(C58:C61)</f>
        <v>553</v>
      </c>
      <c r="D62" s="11"/>
      <c r="E62" s="11"/>
      <c r="F62" s="11"/>
      <c r="G62" s="11"/>
    </row>
    <row r="63" customFormat="false" ht="15" hidden="false" customHeight="true" outlineLevel="0" collapsed="false">
      <c r="A63" s="9"/>
      <c r="B63" s="7" t="s">
        <v>81</v>
      </c>
      <c r="C63" s="6"/>
      <c r="D63" s="8" t="n">
        <f aca="false">D64+D65+D66+D67+D68</f>
        <v>30.4935</v>
      </c>
      <c r="E63" s="8" t="n">
        <f aca="false">E64+E65+E66+E67+E68</f>
        <v>36.9637</v>
      </c>
      <c r="F63" s="8" t="n">
        <f aca="false">F64+F65+F66+F67+F68</f>
        <v>94.5838</v>
      </c>
      <c r="G63" s="8" t="n">
        <f aca="false">G64+G65+G66+G67+G68</f>
        <v>859.326</v>
      </c>
    </row>
    <row r="64" customFormat="false" ht="15" hidden="false" customHeight="true" outlineLevel="0" collapsed="false">
      <c r="A64" s="9" t="s">
        <v>101</v>
      </c>
      <c r="B64" s="10" t="s">
        <v>102</v>
      </c>
      <c r="C64" s="9" t="n">
        <v>100</v>
      </c>
      <c r="D64" s="11" t="n">
        <f aca="false">0.8*1.67</f>
        <v>1.336</v>
      </c>
      <c r="E64" s="11" t="n">
        <f aca="false">3.11*1.67</f>
        <v>5.1937</v>
      </c>
      <c r="F64" s="11" t="n">
        <f aca="false">5.64*1.67</f>
        <v>9.4188</v>
      </c>
      <c r="G64" s="11" t="n">
        <f aca="false">55.8*1.67</f>
        <v>93.186</v>
      </c>
    </row>
    <row r="65" customFormat="false" ht="30" hidden="false" customHeight="true" outlineLevel="0" collapsed="false">
      <c r="A65" s="9" t="s">
        <v>103</v>
      </c>
      <c r="B65" s="10" t="s">
        <v>104</v>
      </c>
      <c r="C65" s="9" t="n">
        <v>260</v>
      </c>
      <c r="D65" s="11" t="n">
        <f aca="false">6.51*1.25</f>
        <v>8.1375</v>
      </c>
      <c r="E65" s="11" t="n">
        <f aca="false">12.28*1.25</f>
        <v>15.35</v>
      </c>
      <c r="F65" s="11" t="n">
        <f aca="false">18.94*1.25</f>
        <v>23.675</v>
      </c>
      <c r="G65" s="11" t="n">
        <v>271.76</v>
      </c>
    </row>
    <row r="66" customFormat="false" ht="15" hidden="false" customHeight="true" outlineLevel="0" collapsed="false">
      <c r="A66" s="9" t="s">
        <v>105</v>
      </c>
      <c r="B66" s="10" t="s">
        <v>106</v>
      </c>
      <c r="C66" s="9" t="n">
        <v>260</v>
      </c>
      <c r="D66" s="11" t="n">
        <v>18.35</v>
      </c>
      <c r="E66" s="11" t="n">
        <v>16.26</v>
      </c>
      <c r="F66" s="11" t="n">
        <v>39.62</v>
      </c>
      <c r="G66" s="11" t="n">
        <v>389.81</v>
      </c>
    </row>
    <row r="67" customFormat="false" ht="14.25" hidden="false" customHeight="true" outlineLevel="0" collapsed="false">
      <c r="A67" s="9" t="s">
        <v>42</v>
      </c>
      <c r="B67" s="10" t="s">
        <v>70</v>
      </c>
      <c r="C67" s="9" t="n">
        <v>200</v>
      </c>
      <c r="D67" s="11" t="n">
        <v>1.15</v>
      </c>
      <c r="E67" s="11"/>
      <c r="F67" s="11" t="n">
        <v>12.03</v>
      </c>
      <c r="G67" s="11" t="n">
        <v>55.4</v>
      </c>
    </row>
    <row r="68" customFormat="false" ht="15" hidden="false" customHeight="true" outlineLevel="0" collapsed="false">
      <c r="A68" s="9"/>
      <c r="B68" s="10" t="s">
        <v>28</v>
      </c>
      <c r="C68" s="9" t="n">
        <v>20</v>
      </c>
      <c r="D68" s="11" t="n">
        <v>1.52</v>
      </c>
      <c r="E68" s="11" t="n">
        <v>0.16</v>
      </c>
      <c r="F68" s="11" t="n">
        <v>9.84</v>
      </c>
      <c r="G68" s="11" t="n">
        <v>49.17</v>
      </c>
    </row>
    <row r="69" customFormat="false" ht="15" hidden="false" customHeight="true" outlineLevel="0" collapsed="false">
      <c r="A69" s="13" t="s">
        <v>29</v>
      </c>
      <c r="B69" s="13"/>
      <c r="C69" s="6" t="n">
        <f aca="false">SUM(C64:C68)</f>
        <v>840</v>
      </c>
      <c r="D69" s="11"/>
      <c r="E69" s="11"/>
      <c r="F69" s="11"/>
      <c r="G69" s="11"/>
    </row>
    <row r="70" customFormat="false" ht="27.95" hidden="false" customHeight="true" outlineLevel="0" collapsed="false">
      <c r="A70" s="7" t="s">
        <v>48</v>
      </c>
      <c r="B70" s="7"/>
      <c r="C70" s="7"/>
      <c r="D70" s="8" t="n">
        <f aca="false">D71+D77</f>
        <v>47.9729</v>
      </c>
      <c r="E70" s="8" t="n">
        <f aca="false">E71+E77</f>
        <v>36.8387</v>
      </c>
      <c r="F70" s="8" t="n">
        <f aca="false">F71+F77</f>
        <v>228.1254</v>
      </c>
      <c r="G70" s="8" t="n">
        <f aca="false">G71+G77</f>
        <v>1491.5707</v>
      </c>
    </row>
    <row r="71" customFormat="false" ht="12.75" hidden="false" customHeight="false" outlineLevel="0" collapsed="false">
      <c r="A71" s="6"/>
      <c r="B71" s="7" t="s">
        <v>18</v>
      </c>
      <c r="C71" s="6"/>
      <c r="D71" s="8" t="n">
        <f aca="false">D72+D73+D74+D75</f>
        <v>15.64</v>
      </c>
      <c r="E71" s="8" t="n">
        <f aca="false">E72+E73+E74+E75</f>
        <v>9.62</v>
      </c>
      <c r="F71" s="8" t="n">
        <f aca="false">F72+F73+F74+F75</f>
        <v>94.05</v>
      </c>
      <c r="G71" s="8" t="n">
        <f aca="false">G72+G73+G74+G75</f>
        <v>547.325</v>
      </c>
    </row>
    <row r="72" customFormat="false" ht="12.75" hidden="false" customHeight="false" outlineLevel="0" collapsed="false">
      <c r="A72" s="9"/>
      <c r="B72" s="10" t="s">
        <v>45</v>
      </c>
      <c r="C72" s="9" t="n">
        <v>100</v>
      </c>
      <c r="D72" s="11" t="n">
        <v>0.4</v>
      </c>
      <c r="E72" s="11" t="n">
        <v>0</v>
      </c>
      <c r="F72" s="11" t="n">
        <v>9.8</v>
      </c>
      <c r="G72" s="11" t="n">
        <v>42.84</v>
      </c>
    </row>
    <row r="73" customFormat="false" ht="12.75" hidden="false" customHeight="false" outlineLevel="0" collapsed="false">
      <c r="A73" s="9" t="s">
        <v>141</v>
      </c>
      <c r="B73" s="10" t="s">
        <v>142</v>
      </c>
      <c r="C73" s="9" t="n">
        <v>203</v>
      </c>
      <c r="D73" s="11" t="n">
        <v>11.44</v>
      </c>
      <c r="E73" s="11" t="n">
        <v>9.22</v>
      </c>
      <c r="F73" s="11" t="n">
        <v>49.65</v>
      </c>
      <c r="G73" s="11" t="n">
        <v>339.56</v>
      </c>
    </row>
    <row r="74" customFormat="false" ht="12.75" hidden="false" customHeight="false" outlineLevel="0" collapsed="false">
      <c r="A74" s="12" t="s">
        <v>35</v>
      </c>
      <c r="B74" s="10" t="s">
        <v>36</v>
      </c>
      <c r="C74" s="12" t="n">
        <v>200</v>
      </c>
      <c r="D74" s="11" t="n">
        <v>0</v>
      </c>
      <c r="E74" s="11" t="n">
        <v>0</v>
      </c>
      <c r="F74" s="11" t="n">
        <v>10</v>
      </c>
      <c r="G74" s="11" t="n">
        <v>42</v>
      </c>
    </row>
    <row r="75" customFormat="false" ht="13.5" hidden="false" customHeight="true" outlineLevel="0" collapsed="false">
      <c r="A75" s="9"/>
      <c r="B75" s="10" t="s">
        <v>28</v>
      </c>
      <c r="C75" s="9" t="n">
        <v>50</v>
      </c>
      <c r="D75" s="11" t="n">
        <f aca="false">3.04*1.25</f>
        <v>3.8</v>
      </c>
      <c r="E75" s="11" t="n">
        <f aca="false">0.32*1.25</f>
        <v>0.4</v>
      </c>
      <c r="F75" s="11" t="n">
        <f aca="false">19.68*1.25</f>
        <v>24.6</v>
      </c>
      <c r="G75" s="11" t="n">
        <f aca="false">98.34*1.25</f>
        <v>122.925</v>
      </c>
    </row>
    <row r="76" customFormat="false" ht="12.75" hidden="false" customHeight="true" outlineLevel="0" collapsed="false">
      <c r="A76" s="13" t="s">
        <v>29</v>
      </c>
      <c r="B76" s="13"/>
      <c r="C76" s="6" t="n">
        <f aca="false">SUM(C72:C75)</f>
        <v>553</v>
      </c>
      <c r="D76" s="11"/>
      <c r="E76" s="11"/>
      <c r="F76" s="11"/>
      <c r="G76" s="11"/>
    </row>
    <row r="77" customFormat="false" ht="12.75" hidden="false" customHeight="false" outlineLevel="0" collapsed="false">
      <c r="A77" s="9"/>
      <c r="B77" s="7" t="s">
        <v>81</v>
      </c>
      <c r="C77" s="6"/>
      <c r="D77" s="8" t="n">
        <f aca="false">D78+D79+D80+D81+D82+D83</f>
        <v>32.3329</v>
      </c>
      <c r="E77" s="8" t="n">
        <f aca="false">E78+E79+E80+E81+E82+E83</f>
        <v>27.2187</v>
      </c>
      <c r="F77" s="8" t="n">
        <f aca="false">F78+F79+F80+F81+F82+F83</f>
        <v>134.0754</v>
      </c>
      <c r="G77" s="8" t="n">
        <f aca="false">G78+G79+G80+G81+G82+G83</f>
        <v>944.2457</v>
      </c>
    </row>
    <row r="78" customFormat="false" ht="18.75" hidden="false" customHeight="true" outlineLevel="0" collapsed="false">
      <c r="A78" s="12" t="s">
        <v>107</v>
      </c>
      <c r="B78" s="10" t="s">
        <v>108</v>
      </c>
      <c r="C78" s="9" t="n">
        <v>100</v>
      </c>
      <c r="D78" s="11" t="n">
        <f aca="false">0.74*1.66</f>
        <v>1.2284</v>
      </c>
      <c r="E78" s="11" t="n">
        <f aca="false">0.06*1.67</f>
        <v>0.1002</v>
      </c>
      <c r="F78" s="11" t="n">
        <f aca="false">16.92*1.67</f>
        <v>28.2564</v>
      </c>
      <c r="G78" s="11" t="n">
        <f aca="false">74.71*1.67</f>
        <v>124.7657</v>
      </c>
    </row>
    <row r="79" customFormat="false" ht="12.75" hidden="false" customHeight="false" outlineLevel="0" collapsed="false">
      <c r="A79" s="9" t="s">
        <v>84</v>
      </c>
      <c r="B79" s="10" t="s">
        <v>85</v>
      </c>
      <c r="C79" s="9" t="n">
        <v>255</v>
      </c>
      <c r="D79" s="11" t="n">
        <f aca="false">3.09*1.25</f>
        <v>3.8625</v>
      </c>
      <c r="E79" s="11" t="n">
        <f aca="false">4.61*1.25</f>
        <v>5.7625</v>
      </c>
      <c r="F79" s="11" t="n">
        <f aca="false">12.54*1.25</f>
        <v>15.675</v>
      </c>
      <c r="G79" s="11" t="n">
        <f aca="false">107.36*1.25</f>
        <v>134.2</v>
      </c>
    </row>
    <row r="80" customFormat="false" ht="12.75" hidden="false" customHeight="false" outlineLevel="0" collapsed="false">
      <c r="A80" s="9" t="s">
        <v>109</v>
      </c>
      <c r="B80" s="10" t="s">
        <v>110</v>
      </c>
      <c r="C80" s="9" t="n">
        <v>110</v>
      </c>
      <c r="D80" s="11" t="n">
        <v>5.73</v>
      </c>
      <c r="E80" s="11" t="n">
        <v>16.34</v>
      </c>
      <c r="F80" s="11" t="n">
        <v>10.38</v>
      </c>
      <c r="G80" s="11" t="n">
        <v>215</v>
      </c>
    </row>
    <row r="81" customFormat="false" ht="12.75" hidden="false" customHeight="false" outlineLevel="0" collapsed="false">
      <c r="A81" s="9" t="s">
        <v>111</v>
      </c>
      <c r="B81" s="10" t="s">
        <v>112</v>
      </c>
      <c r="C81" s="9" t="n">
        <v>180</v>
      </c>
      <c r="D81" s="11" t="n">
        <f aca="false">16.26*1.2</f>
        <v>19.512</v>
      </c>
      <c r="E81" s="11" t="n">
        <f aca="false">4.03*1.2</f>
        <v>4.836</v>
      </c>
      <c r="F81" s="11" t="n">
        <f aca="false">33.97*1.2</f>
        <v>40.764</v>
      </c>
      <c r="G81" s="11" t="n">
        <f aca="false">247.3*1.2</f>
        <v>296.76</v>
      </c>
    </row>
    <row r="82" customFormat="false" ht="18" hidden="false" customHeight="true" outlineLevel="0" collapsed="false">
      <c r="A82" s="9" t="s">
        <v>42</v>
      </c>
      <c r="B82" s="10" t="s">
        <v>43</v>
      </c>
      <c r="C82" s="9" t="n">
        <v>200</v>
      </c>
      <c r="D82" s="11" t="n">
        <v>1</v>
      </c>
      <c r="E82" s="11" t="n">
        <v>0.1</v>
      </c>
      <c r="F82" s="11" t="n">
        <v>31</v>
      </c>
      <c r="G82" s="11" t="n">
        <v>135</v>
      </c>
    </row>
    <row r="83" customFormat="false" ht="12.75" hidden="false" customHeight="false" outlineLevel="0" collapsed="false">
      <c r="A83" s="9"/>
      <c r="B83" s="10" t="s">
        <v>100</v>
      </c>
      <c r="C83" s="9" t="n">
        <v>20</v>
      </c>
      <c r="D83" s="11" t="n">
        <v>1</v>
      </c>
      <c r="E83" s="11" t="n">
        <v>0.08</v>
      </c>
      <c r="F83" s="11" t="n">
        <v>8</v>
      </c>
      <c r="G83" s="11" t="n">
        <v>38.52</v>
      </c>
    </row>
    <row r="84" customFormat="false" ht="12.75" hidden="false" customHeight="true" outlineLevel="0" collapsed="false">
      <c r="A84" s="13" t="s">
        <v>29</v>
      </c>
      <c r="B84" s="13"/>
      <c r="C84" s="6" t="n">
        <f aca="false">SUM(C78:C83)</f>
        <v>865</v>
      </c>
      <c r="D84" s="11"/>
      <c r="E84" s="11"/>
      <c r="F84" s="11"/>
      <c r="G84" s="11"/>
    </row>
    <row r="85" customFormat="false" ht="27.95" hidden="false" customHeight="true" outlineLevel="0" collapsed="false">
      <c r="A85" s="7" t="s">
        <v>53</v>
      </c>
      <c r="B85" s="7"/>
      <c r="C85" s="7"/>
      <c r="D85" s="8" t="n">
        <f aca="false">D86+D92</f>
        <v>43.0307</v>
      </c>
      <c r="E85" s="8" t="n">
        <f aca="false">E86+E92</f>
        <v>59.549</v>
      </c>
      <c r="F85" s="8" t="n">
        <f aca="false">F86+F92</f>
        <v>198.2511</v>
      </c>
      <c r="G85" s="8" t="n">
        <f aca="false">G86+G92</f>
        <v>1550.83474</v>
      </c>
    </row>
    <row r="86" customFormat="false" ht="12.75" hidden="false" customHeight="false" outlineLevel="0" collapsed="false">
      <c r="A86" s="6"/>
      <c r="B86" s="7" t="s">
        <v>18</v>
      </c>
      <c r="C86" s="6"/>
      <c r="D86" s="8" t="n">
        <f aca="false">D87+D88+D89+D90</f>
        <v>12.4</v>
      </c>
      <c r="E86" s="8" t="n">
        <f aca="false">E87+E88+E89+E90</f>
        <v>10.6</v>
      </c>
      <c r="F86" s="8" t="n">
        <f aca="false">F87+F88+F89+F90</f>
        <v>94.42</v>
      </c>
      <c r="G86" s="8" t="n">
        <f aca="false">G87+G88+G89+G90</f>
        <v>544.085</v>
      </c>
    </row>
    <row r="87" customFormat="false" ht="12.75" hidden="false" customHeight="false" outlineLevel="0" collapsed="false">
      <c r="A87" s="9"/>
      <c r="B87" s="10" t="s">
        <v>45</v>
      </c>
      <c r="C87" s="9" t="n">
        <v>100</v>
      </c>
      <c r="D87" s="11" t="n">
        <v>0.4</v>
      </c>
      <c r="E87" s="11" t="n">
        <v>0</v>
      </c>
      <c r="F87" s="11" t="n">
        <v>9.8</v>
      </c>
      <c r="G87" s="11" t="n">
        <v>42.84</v>
      </c>
    </row>
    <row r="88" customFormat="false" ht="24.75" hidden="false" customHeight="true" outlineLevel="0" collapsed="false">
      <c r="A88" s="9" t="s">
        <v>23</v>
      </c>
      <c r="B88" s="10" t="s">
        <v>54</v>
      </c>
      <c r="C88" s="9" t="n">
        <v>203</v>
      </c>
      <c r="D88" s="11" t="n">
        <v>8.2</v>
      </c>
      <c r="E88" s="11" t="n">
        <v>10.2</v>
      </c>
      <c r="F88" s="11" t="n">
        <v>50.02</v>
      </c>
      <c r="G88" s="11" t="n">
        <v>336.32</v>
      </c>
      <c r="H88" s="14"/>
      <c r="I88" s="14"/>
      <c r="J88" s="14"/>
      <c r="K88" s="14"/>
      <c r="L88" s="14"/>
      <c r="M88" s="15"/>
      <c r="N88" s="14"/>
      <c r="O88" s="14"/>
      <c r="P88" s="14"/>
      <c r="Q88" s="14"/>
      <c r="R88" s="14"/>
    </row>
    <row r="89" customFormat="false" ht="12" hidden="false" customHeight="true" outlineLevel="0" collapsed="false">
      <c r="A89" s="9" t="s">
        <v>35</v>
      </c>
      <c r="B89" s="10" t="s">
        <v>36</v>
      </c>
      <c r="C89" s="9" t="n">
        <v>200</v>
      </c>
      <c r="D89" s="11" t="n">
        <v>0</v>
      </c>
      <c r="E89" s="11" t="n">
        <v>0</v>
      </c>
      <c r="F89" s="11" t="n">
        <v>10</v>
      </c>
      <c r="G89" s="11" t="n">
        <v>42</v>
      </c>
      <c r="H89" s="14"/>
      <c r="I89" s="14"/>
      <c r="J89" s="14"/>
      <c r="K89" s="14"/>
      <c r="L89" s="14"/>
      <c r="M89" s="15"/>
      <c r="N89" s="14"/>
      <c r="O89" s="14"/>
      <c r="P89" s="14"/>
      <c r="Q89" s="14"/>
      <c r="R89" s="14"/>
    </row>
    <row r="90" customFormat="false" ht="12.75" hidden="false" customHeight="false" outlineLevel="0" collapsed="false">
      <c r="A90" s="12"/>
      <c r="B90" s="10" t="s">
        <v>28</v>
      </c>
      <c r="C90" s="9" t="n">
        <v>50</v>
      </c>
      <c r="D90" s="11" t="n">
        <f aca="false">3.04*1.25</f>
        <v>3.8</v>
      </c>
      <c r="E90" s="11" t="n">
        <f aca="false">0.32*1.25</f>
        <v>0.4</v>
      </c>
      <c r="F90" s="11" t="n">
        <f aca="false">19.68*1.25</f>
        <v>24.6</v>
      </c>
      <c r="G90" s="11" t="n">
        <f aca="false">98.34*1.25</f>
        <v>122.925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customFormat="false" ht="12.75" hidden="false" customHeight="true" outlineLevel="0" collapsed="false">
      <c r="A91" s="13" t="s">
        <v>29</v>
      </c>
      <c r="B91" s="13"/>
      <c r="C91" s="6" t="n">
        <f aca="false">SUM(C87:C90)</f>
        <v>553</v>
      </c>
      <c r="D91" s="11"/>
      <c r="E91" s="11"/>
      <c r="F91" s="11"/>
      <c r="G91" s="11"/>
    </row>
    <row r="92" customFormat="false" ht="12.75" hidden="false" customHeight="false" outlineLevel="0" collapsed="false">
      <c r="A92" s="9"/>
      <c r="B92" s="7" t="s">
        <v>81</v>
      </c>
      <c r="C92" s="6"/>
      <c r="D92" s="8" t="n">
        <f aca="false">D93+D94+D95+D96+D97</f>
        <v>30.6307</v>
      </c>
      <c r="E92" s="8" t="n">
        <f aca="false">E93+E94+E95+E96+E97</f>
        <v>48.949</v>
      </c>
      <c r="F92" s="8" t="n">
        <f aca="false">F93+F94+F95+F96+F97</f>
        <v>103.8311</v>
      </c>
      <c r="G92" s="8" t="n">
        <f aca="false">G93+G94+G95+G96+G97</f>
        <v>1006.74974</v>
      </c>
    </row>
    <row r="93" customFormat="false" ht="16.5" hidden="false" customHeight="true" outlineLevel="0" collapsed="false">
      <c r="A93" s="9" t="s">
        <v>92</v>
      </c>
      <c r="B93" s="10" t="s">
        <v>93</v>
      </c>
      <c r="C93" s="9" t="n">
        <v>100</v>
      </c>
      <c r="D93" s="11" t="n">
        <f aca="false">1.21*1.67</f>
        <v>2.0207</v>
      </c>
      <c r="E93" s="11" t="n">
        <f aca="false">6.2*1.67</f>
        <v>10.354</v>
      </c>
      <c r="F93" s="11" t="n">
        <f aca="false">12.33*1.67</f>
        <v>20.5911</v>
      </c>
      <c r="G93" s="11" t="n">
        <f aca="false">113*1.67</f>
        <v>188.71</v>
      </c>
      <c r="H93" s="37"/>
      <c r="I93" s="2"/>
      <c r="J93" s="1"/>
      <c r="K93" s="1"/>
      <c r="L93" s="1"/>
      <c r="M93" s="1"/>
      <c r="N93" s="1"/>
      <c r="O93" s="14"/>
      <c r="P93" s="14"/>
      <c r="Q93" s="14"/>
      <c r="R93" s="14"/>
      <c r="S93" s="14"/>
      <c r="T93" s="14"/>
      <c r="U93" s="14"/>
    </row>
    <row r="94" customFormat="false" ht="28.5" hidden="false" customHeight="true" outlineLevel="0" collapsed="false">
      <c r="A94" s="9" t="s">
        <v>113</v>
      </c>
      <c r="B94" s="10" t="s">
        <v>114</v>
      </c>
      <c r="C94" s="9" t="n">
        <v>255</v>
      </c>
      <c r="D94" s="11" t="n">
        <f aca="false">3.96*1.25</f>
        <v>4.95</v>
      </c>
      <c r="E94" s="11" t="n">
        <f aca="false">4.86*1.25</f>
        <v>6.075</v>
      </c>
      <c r="F94" s="11" t="n">
        <f aca="false">17.01*1.25</f>
        <v>21.2625</v>
      </c>
      <c r="G94" s="11" t="n">
        <f aca="false">131.81*1.254</f>
        <v>165.28974</v>
      </c>
      <c r="H94" s="38"/>
      <c r="I94" s="31"/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4"/>
    </row>
    <row r="95" customFormat="false" ht="12.75" hidden="false" customHeight="false" outlineLevel="0" collapsed="false">
      <c r="A95" s="9" t="s">
        <v>115</v>
      </c>
      <c r="B95" s="10" t="s">
        <v>116</v>
      </c>
      <c r="C95" s="9" t="n">
        <v>250</v>
      </c>
      <c r="D95" s="11" t="n">
        <f aca="false">16.48*1.25</f>
        <v>20.6</v>
      </c>
      <c r="E95" s="11" t="n">
        <f aca="false">25.76*1.25</f>
        <v>32.2</v>
      </c>
      <c r="F95" s="11" t="n">
        <f aca="false">10.39*1.25</f>
        <v>12.9875</v>
      </c>
      <c r="G95" s="11" t="n">
        <f aca="false">345*1.25</f>
        <v>431.25</v>
      </c>
    </row>
    <row r="96" customFormat="false" ht="25.5" hidden="false" customHeight="false" outlineLevel="0" collapsed="false">
      <c r="A96" s="9" t="s">
        <v>117</v>
      </c>
      <c r="B96" s="10" t="s">
        <v>118</v>
      </c>
      <c r="C96" s="9" t="n">
        <v>200</v>
      </c>
      <c r="D96" s="11" t="n">
        <v>0.02</v>
      </c>
      <c r="E96" s="11"/>
      <c r="F96" s="11" t="n">
        <v>29.31</v>
      </c>
      <c r="G96" s="11" t="n">
        <v>123.16</v>
      </c>
      <c r="H96" s="1"/>
      <c r="I96" s="1"/>
      <c r="J96" s="1"/>
      <c r="K96" s="1"/>
      <c r="L96" s="1"/>
      <c r="M96" s="1"/>
      <c r="N96" s="16"/>
      <c r="O96" s="1"/>
      <c r="P96" s="1"/>
      <c r="Q96" s="1"/>
      <c r="R96" s="1"/>
      <c r="S96" s="1"/>
    </row>
    <row r="97" customFormat="false" ht="12.75" hidden="false" customHeight="false" outlineLevel="0" collapsed="false">
      <c r="A97" s="9"/>
      <c r="B97" s="10" t="s">
        <v>28</v>
      </c>
      <c r="C97" s="9" t="n">
        <v>40</v>
      </c>
      <c r="D97" s="11" t="n">
        <v>3.04</v>
      </c>
      <c r="E97" s="11" t="n">
        <v>0.32</v>
      </c>
      <c r="F97" s="11" t="n">
        <v>19.68</v>
      </c>
      <c r="G97" s="11" t="n">
        <v>98.34</v>
      </c>
    </row>
    <row r="98" customFormat="false" ht="12.75" hidden="false" customHeight="true" outlineLevel="0" collapsed="false">
      <c r="A98" s="13" t="s">
        <v>29</v>
      </c>
      <c r="B98" s="13"/>
      <c r="C98" s="6" t="n">
        <f aca="false">SUM(C93:C97)</f>
        <v>845</v>
      </c>
      <c r="D98" s="11"/>
      <c r="E98" s="11"/>
      <c r="F98" s="11"/>
      <c r="G98" s="11"/>
    </row>
    <row r="99" customFormat="false" ht="27.95" hidden="false" customHeight="true" outlineLevel="0" collapsed="false">
      <c r="A99" s="7" t="s">
        <v>55</v>
      </c>
      <c r="B99" s="7"/>
      <c r="C99" s="7"/>
      <c r="D99" s="8" t="n">
        <f aca="false">D100+D106</f>
        <v>41.1388</v>
      </c>
      <c r="E99" s="8" t="n">
        <f aca="false">E100+E106</f>
        <v>49.9229</v>
      </c>
      <c r="F99" s="8" t="n">
        <f aca="false">F100+F106</f>
        <v>230.3031</v>
      </c>
      <c r="G99" s="8" t="n">
        <f aca="false">G100+G106</f>
        <v>1615.186</v>
      </c>
    </row>
    <row r="100" customFormat="false" ht="12.75" hidden="false" customHeight="false" outlineLevel="0" collapsed="false">
      <c r="A100" s="6"/>
      <c r="B100" s="7" t="s">
        <v>18</v>
      </c>
      <c r="C100" s="6"/>
      <c r="D100" s="8" t="n">
        <f aca="false">D101+D102+D103+D104</f>
        <v>19.1697</v>
      </c>
      <c r="E100" s="8" t="n">
        <f aca="false">E101+E102+E103+E104</f>
        <v>11.3893</v>
      </c>
      <c r="F100" s="8" t="n">
        <f aca="false">F101+F102+F103+F104</f>
        <v>141.0103</v>
      </c>
      <c r="G100" s="8" t="n">
        <f aca="false">G101+G102+G103+G104</f>
        <v>776.031</v>
      </c>
    </row>
    <row r="101" customFormat="false" ht="26.25" hidden="false" customHeight="true" outlineLevel="0" collapsed="false">
      <c r="A101" s="9" t="s">
        <v>23</v>
      </c>
      <c r="B101" s="10" t="s">
        <v>143</v>
      </c>
      <c r="C101" s="9" t="n">
        <v>203</v>
      </c>
      <c r="D101" s="11" t="n">
        <v>7.16</v>
      </c>
      <c r="E101" s="11" t="n">
        <v>4.66</v>
      </c>
      <c r="F101" s="11" t="n">
        <v>40.52</v>
      </c>
      <c r="G101" s="11" t="n">
        <v>242.96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customFormat="false" ht="13.5" hidden="false" customHeight="true" outlineLevel="0" collapsed="false">
      <c r="A102" s="9" t="s">
        <v>138</v>
      </c>
      <c r="B102" s="10" t="s">
        <v>139</v>
      </c>
      <c r="C102" s="9" t="n">
        <v>100</v>
      </c>
      <c r="D102" s="11" t="n">
        <f aca="false">4.91*1.67</f>
        <v>8.1997</v>
      </c>
      <c r="E102" s="11" t="n">
        <f aca="false">3.79*1.67</f>
        <v>6.3293</v>
      </c>
      <c r="F102" s="11" t="n">
        <f aca="false">36.09*1.67</f>
        <v>60.2703</v>
      </c>
      <c r="G102" s="11" t="n">
        <v>344.5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customFormat="false" ht="14.25" hidden="false" customHeight="true" outlineLevel="0" collapsed="false">
      <c r="A103" s="9" t="s">
        <v>61</v>
      </c>
      <c r="B103" s="10" t="s">
        <v>62</v>
      </c>
      <c r="C103" s="9" t="n">
        <v>200</v>
      </c>
      <c r="D103" s="11" t="n">
        <v>0.01</v>
      </c>
      <c r="E103" s="11"/>
      <c r="F103" s="11" t="n">
        <v>15.62</v>
      </c>
      <c r="G103" s="11" t="n">
        <v>65.646</v>
      </c>
      <c r="H103" s="1"/>
      <c r="I103" s="16"/>
      <c r="J103" s="1"/>
      <c r="K103" s="1"/>
      <c r="L103" s="16"/>
      <c r="M103" s="1"/>
      <c r="N103" s="1"/>
      <c r="O103" s="16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customFormat="false" ht="14.25" hidden="false" customHeight="true" outlineLevel="0" collapsed="false">
      <c r="A104" s="9"/>
      <c r="B104" s="10" t="s">
        <v>28</v>
      </c>
      <c r="C104" s="9" t="n">
        <v>50</v>
      </c>
      <c r="D104" s="11" t="n">
        <f aca="false">3.04*1.25</f>
        <v>3.8</v>
      </c>
      <c r="E104" s="11" t="n">
        <f aca="false">0.32*1.25</f>
        <v>0.4</v>
      </c>
      <c r="F104" s="11" t="n">
        <f aca="false">19.68*1.25</f>
        <v>24.6</v>
      </c>
      <c r="G104" s="11" t="n">
        <f aca="false">98.34*1.25</f>
        <v>122.925</v>
      </c>
      <c r="H104" s="1"/>
      <c r="I104" s="17"/>
      <c r="J104" s="1"/>
      <c r="K104" s="1"/>
      <c r="L104" s="17"/>
      <c r="M104" s="16"/>
      <c r="N104" s="16"/>
      <c r="O104" s="16"/>
      <c r="P104" s="16"/>
      <c r="Q104" s="16"/>
      <c r="R104" s="16"/>
      <c r="S104" s="16"/>
      <c r="T104" s="16"/>
      <c r="U104" s="16"/>
      <c r="V104" s="1"/>
      <c r="W104" s="16"/>
      <c r="X104" s="16"/>
      <c r="Y104" s="17"/>
    </row>
    <row r="105" customFormat="false" ht="18.75" hidden="false" customHeight="true" outlineLevel="0" collapsed="false">
      <c r="A105" s="13" t="s">
        <v>29</v>
      </c>
      <c r="B105" s="13"/>
      <c r="C105" s="6" t="n">
        <f aca="false">SUM(C101:C104)</f>
        <v>553</v>
      </c>
      <c r="D105" s="11"/>
      <c r="E105" s="11"/>
      <c r="F105" s="11"/>
      <c r="G105" s="11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customFormat="false" ht="17.25" hidden="false" customHeight="true" outlineLevel="0" collapsed="false">
      <c r="A106" s="9"/>
      <c r="B106" s="7" t="s">
        <v>81</v>
      </c>
      <c r="C106" s="6"/>
      <c r="D106" s="8" t="n">
        <f aca="false">D107+D108+D109+D110+D111+D112</f>
        <v>21.9691</v>
      </c>
      <c r="E106" s="8" t="n">
        <f aca="false">E107+E108+E109+E110+E111+E112</f>
        <v>38.5336</v>
      </c>
      <c r="F106" s="8" t="n">
        <f aca="false">F107+F108+F109+F110+F111+F112</f>
        <v>89.2928</v>
      </c>
      <c r="G106" s="8" t="n">
        <f aca="false">G107+G108+G109+G110+G111+G112</f>
        <v>839.155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customFormat="false" ht="15" hidden="false" customHeight="true" outlineLevel="0" collapsed="false">
      <c r="A107" s="9" t="s">
        <v>82</v>
      </c>
      <c r="B107" s="10" t="s">
        <v>83</v>
      </c>
      <c r="C107" s="9" t="n">
        <v>100</v>
      </c>
      <c r="D107" s="11" t="n">
        <f aca="false">0.94*1.66</f>
        <v>1.5604</v>
      </c>
      <c r="E107" s="11" t="n">
        <f aca="false">4.06*1.66</f>
        <v>6.7396</v>
      </c>
      <c r="F107" s="11" t="n">
        <f aca="false">5.96*1.66</f>
        <v>9.8936</v>
      </c>
      <c r="G107" s="11" t="n">
        <v>108.76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customFormat="false" ht="24" hidden="false" customHeight="true" outlineLevel="0" collapsed="false">
      <c r="A108" s="9" t="s">
        <v>119</v>
      </c>
      <c r="B108" s="10" t="s">
        <v>120</v>
      </c>
      <c r="C108" s="9" t="n">
        <v>260</v>
      </c>
      <c r="D108" s="11" t="n">
        <f aca="false">4.65*1.25</f>
        <v>5.8125</v>
      </c>
      <c r="E108" s="11" t="n">
        <f aca="false">6.92*1.25</f>
        <v>8.65</v>
      </c>
      <c r="F108" s="11" t="n">
        <f aca="false">12.49*1.25</f>
        <v>15.6125</v>
      </c>
      <c r="G108" s="11" t="n">
        <f aca="false">134.268*1.25</f>
        <v>167.835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customFormat="false" ht="14.25" hidden="false" customHeight="true" outlineLevel="0" collapsed="false">
      <c r="A109" s="9" t="s">
        <v>144</v>
      </c>
      <c r="B109" s="10" t="s">
        <v>145</v>
      </c>
      <c r="C109" s="33" t="n">
        <v>100</v>
      </c>
      <c r="D109" s="11" t="n">
        <v>9.63</v>
      </c>
      <c r="E109" s="11" t="n">
        <v>12.61</v>
      </c>
      <c r="F109" s="11" t="n">
        <v>8.51</v>
      </c>
      <c r="G109" s="11" t="n">
        <v>189.68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customFormat="false" ht="14.25" hidden="false" customHeight="true" outlineLevel="0" collapsed="false">
      <c r="A110" s="9" t="s">
        <v>33</v>
      </c>
      <c r="B110" s="10" t="s">
        <v>34</v>
      </c>
      <c r="C110" s="9" t="n">
        <v>200</v>
      </c>
      <c r="D110" s="11" t="n">
        <v>3.26</v>
      </c>
      <c r="E110" s="11" t="n">
        <f aca="false">7.8*1.33</f>
        <v>10.374</v>
      </c>
      <c r="F110" s="11" t="n">
        <f aca="false">21.99*1.33</f>
        <v>29.2467</v>
      </c>
      <c r="G110" s="11" t="n">
        <v>234.48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customFormat="false" ht="15.75" hidden="false" customHeight="true" outlineLevel="0" collapsed="false">
      <c r="A111" s="9" t="s">
        <v>123</v>
      </c>
      <c r="B111" s="10" t="s">
        <v>124</v>
      </c>
      <c r="C111" s="9" t="n">
        <v>200</v>
      </c>
      <c r="D111" s="11" t="n">
        <f aca="false">0.14*1.33</f>
        <v>0.1862</v>
      </c>
      <c r="E111" s="11"/>
      <c r="F111" s="11" t="n">
        <v>16.19</v>
      </c>
      <c r="G111" s="11" t="n">
        <v>89.23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customFormat="false" ht="13.5" hidden="false" customHeight="true" outlineLevel="0" collapsed="false">
      <c r="A112" s="12"/>
      <c r="B112" s="10" t="s">
        <v>28</v>
      </c>
      <c r="C112" s="9" t="n">
        <v>20</v>
      </c>
      <c r="D112" s="11" t="n">
        <v>1.52</v>
      </c>
      <c r="E112" s="11" t="n">
        <v>0.16</v>
      </c>
      <c r="F112" s="11" t="n">
        <v>9.84</v>
      </c>
      <c r="G112" s="11" t="n">
        <v>49.17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customFormat="false" ht="12.75" hidden="false" customHeight="true" outlineLevel="0" collapsed="false">
      <c r="A113" s="13" t="s">
        <v>29</v>
      </c>
      <c r="B113" s="13"/>
      <c r="C113" s="18" t="n">
        <f aca="false">SUM(C107:C112)</f>
        <v>880</v>
      </c>
      <c r="D113" s="11"/>
      <c r="E113" s="11"/>
      <c r="F113" s="11"/>
      <c r="G113" s="11"/>
      <c r="H113" s="1"/>
      <c r="I113" s="17"/>
      <c r="J113" s="1"/>
      <c r="K113" s="1"/>
      <c r="L113" s="17"/>
      <c r="M113" s="16"/>
      <c r="N113" s="16"/>
      <c r="O113" s="16"/>
      <c r="P113" s="16"/>
      <c r="Q113" s="16"/>
      <c r="R113" s="16"/>
      <c r="S113" s="16"/>
      <c r="T113" s="16"/>
      <c r="U113" s="16"/>
      <c r="V113" s="1"/>
      <c r="W113" s="16"/>
      <c r="X113" s="16"/>
      <c r="Y113" s="17"/>
    </row>
    <row r="114" customFormat="false" ht="27.95" hidden="false" customHeight="true" outlineLevel="0" collapsed="false">
      <c r="A114" s="7" t="s">
        <v>63</v>
      </c>
      <c r="B114" s="7"/>
      <c r="C114" s="7"/>
      <c r="D114" s="8" t="n">
        <f aca="false">D115+D121</f>
        <v>45.37304</v>
      </c>
      <c r="E114" s="8" t="n">
        <f aca="false">E115+E121</f>
        <v>73.21116</v>
      </c>
      <c r="F114" s="8" t="n">
        <f aca="false">F115+F121</f>
        <v>205.21928</v>
      </c>
      <c r="G114" s="8" t="n">
        <f aca="false">G115+G121</f>
        <v>1712.4435</v>
      </c>
    </row>
    <row r="115" customFormat="false" ht="12.75" hidden="false" customHeight="false" outlineLevel="0" collapsed="false">
      <c r="A115" s="6"/>
      <c r="B115" s="7" t="s">
        <v>18</v>
      </c>
      <c r="C115" s="6"/>
      <c r="D115" s="8" t="n">
        <f aca="false">D116+D117+D118+D119</f>
        <v>15.1425</v>
      </c>
      <c r="E115" s="8" t="n">
        <f aca="false">E116+E117+E118+E119</f>
        <v>24.3675</v>
      </c>
      <c r="F115" s="8" t="n">
        <f aca="false">F116+F117+F118+F119</f>
        <v>109.0175</v>
      </c>
      <c r="G115" s="8" t="n">
        <f aca="false">G116+G117+G118+G119</f>
        <v>740.82</v>
      </c>
    </row>
    <row r="116" customFormat="false" ht="25.5" hidden="false" customHeight="false" outlineLevel="0" collapsed="false">
      <c r="A116" s="9" t="s">
        <v>23</v>
      </c>
      <c r="B116" s="10" t="s">
        <v>136</v>
      </c>
      <c r="C116" s="9" t="n">
        <v>253</v>
      </c>
      <c r="D116" s="11" t="n">
        <f aca="false">7.81*1.25</f>
        <v>9.7625</v>
      </c>
      <c r="E116" s="11" t="n">
        <f aca="false">4.55*1.25</f>
        <v>5.6875</v>
      </c>
      <c r="F116" s="11" t="n">
        <f aca="false">33.47*1.25</f>
        <v>41.8375</v>
      </c>
      <c r="G116" s="11" t="n">
        <v>267.91</v>
      </c>
    </row>
    <row r="117" customFormat="false" ht="12.75" hidden="false" customHeight="false" outlineLevel="0" collapsed="false">
      <c r="A117" s="9"/>
      <c r="B117" s="10" t="s">
        <v>146</v>
      </c>
      <c r="C117" s="33" t="n">
        <v>60</v>
      </c>
      <c r="D117" s="11" t="n">
        <v>2.34</v>
      </c>
      <c r="E117" s="11" t="n">
        <v>18.36</v>
      </c>
      <c r="F117" s="11" t="n">
        <v>37.5</v>
      </c>
      <c r="G117" s="11" t="n">
        <v>332.57</v>
      </c>
    </row>
    <row r="118" customFormat="false" ht="12.75" hidden="false" customHeight="false" outlineLevel="0" collapsed="false">
      <c r="A118" s="9" t="s">
        <v>35</v>
      </c>
      <c r="B118" s="10" t="s">
        <v>36</v>
      </c>
      <c r="C118" s="33" t="n">
        <v>200</v>
      </c>
      <c r="D118" s="11" t="n">
        <v>0</v>
      </c>
      <c r="E118" s="11" t="n">
        <v>0</v>
      </c>
      <c r="F118" s="11" t="n">
        <v>10</v>
      </c>
      <c r="G118" s="11" t="n">
        <v>42</v>
      </c>
    </row>
    <row r="119" customFormat="false" ht="12.75" hidden="false" customHeight="false" outlineLevel="0" collapsed="false">
      <c r="A119" s="9"/>
      <c r="B119" s="10" t="s">
        <v>28</v>
      </c>
      <c r="C119" s="33" t="n">
        <v>40</v>
      </c>
      <c r="D119" s="11" t="n">
        <v>3.04</v>
      </c>
      <c r="E119" s="11" t="n">
        <v>0.32</v>
      </c>
      <c r="F119" s="11" t="n">
        <v>19.68</v>
      </c>
      <c r="G119" s="11" t="n">
        <v>98.34</v>
      </c>
    </row>
    <row r="120" customFormat="false" ht="12.75" hidden="false" customHeight="true" outlineLevel="0" collapsed="false">
      <c r="A120" s="13" t="s">
        <v>29</v>
      </c>
      <c r="B120" s="13"/>
      <c r="C120" s="18" t="n">
        <f aca="false">SUM(C116:C119)</f>
        <v>553</v>
      </c>
      <c r="D120" s="11"/>
      <c r="E120" s="11"/>
      <c r="F120" s="11"/>
      <c r="G120" s="11"/>
    </row>
    <row r="121" customFormat="false" ht="12.75" hidden="false" customHeight="false" outlineLevel="0" collapsed="false">
      <c r="A121" s="12"/>
      <c r="B121" s="7" t="s">
        <v>81</v>
      </c>
      <c r="C121" s="34"/>
      <c r="D121" s="8" t="n">
        <f aca="false">D122+D123+D124+D125+D126+D127</f>
        <v>30.23054</v>
      </c>
      <c r="E121" s="8" t="n">
        <f aca="false">E122+E123+E124+E125+E126+E127</f>
        <v>48.84366</v>
      </c>
      <c r="F121" s="8" t="n">
        <f aca="false">F122+F123+F124+F125+F126+F127</f>
        <v>96.20178</v>
      </c>
      <c r="G121" s="8" t="n">
        <f aca="false">G122+G123+G124+G125+G126+G127</f>
        <v>971.6235</v>
      </c>
    </row>
    <row r="122" customFormat="false" ht="12.75" hidden="false" customHeight="false" outlineLevel="0" collapsed="false">
      <c r="A122" s="9" t="s">
        <v>86</v>
      </c>
      <c r="B122" s="10" t="s">
        <v>87</v>
      </c>
      <c r="C122" s="9" t="n">
        <v>100</v>
      </c>
      <c r="D122" s="11" t="n">
        <f aca="false">0.84*1.666</f>
        <v>1.39944</v>
      </c>
      <c r="E122" s="11" t="n">
        <f aca="false">3.06*1.666</f>
        <v>5.09796</v>
      </c>
      <c r="F122" s="11" t="n">
        <f aca="false">6.83*1.666</f>
        <v>11.37878</v>
      </c>
      <c r="G122" s="11" t="n">
        <f aca="false">59.75*1.666</f>
        <v>99.5435</v>
      </c>
    </row>
    <row r="123" customFormat="false" ht="25.5" hidden="false" customHeight="false" outlineLevel="0" collapsed="false">
      <c r="A123" s="9" t="s">
        <v>125</v>
      </c>
      <c r="B123" s="10" t="s">
        <v>126</v>
      </c>
      <c r="C123" s="9" t="n">
        <v>260</v>
      </c>
      <c r="D123" s="11" t="n">
        <f aca="false">7.49*1.25</f>
        <v>9.3625</v>
      </c>
      <c r="E123" s="11" t="n">
        <f aca="false">(10.16+12.36)*1.25</f>
        <v>28.15</v>
      </c>
      <c r="F123" s="11" t="n">
        <f aca="false">(4.87+8.96)*1.25</f>
        <v>17.2875</v>
      </c>
      <c r="G123" s="11" t="n">
        <v>365.28</v>
      </c>
    </row>
    <row r="124" customFormat="false" ht="12.75" hidden="false" customHeight="false" outlineLevel="0" collapsed="false">
      <c r="A124" s="9" t="s">
        <v>96</v>
      </c>
      <c r="B124" s="10" t="s">
        <v>97</v>
      </c>
      <c r="C124" s="9" t="n">
        <v>100</v>
      </c>
      <c r="D124" s="11" t="n">
        <f aca="false">11.84*1.11</f>
        <v>13.1424</v>
      </c>
      <c r="E124" s="11" t="n">
        <f aca="false">10.06*1.11</f>
        <v>11.1666</v>
      </c>
      <c r="F124" s="11" t="n">
        <f aca="false">16.03*1.11</f>
        <v>17.7933</v>
      </c>
      <c r="G124" s="11" t="n">
        <f aca="false">208*1.11</f>
        <v>230.88</v>
      </c>
    </row>
    <row r="125" customFormat="false" ht="12.75" hidden="false" customHeight="false" outlineLevel="0" collapsed="false">
      <c r="A125" s="9" t="s">
        <v>127</v>
      </c>
      <c r="B125" s="10" t="s">
        <v>128</v>
      </c>
      <c r="C125" s="9" t="n">
        <v>200</v>
      </c>
      <c r="D125" s="11" t="n">
        <f aca="false">3.14*1.33</f>
        <v>4.1762</v>
      </c>
      <c r="E125" s="11" t="n">
        <f aca="false">3.27*1.33</f>
        <v>4.3491</v>
      </c>
      <c r="F125" s="11" t="n">
        <f aca="false">22.34*1.33</f>
        <v>29.7122</v>
      </c>
      <c r="G125" s="11" t="n">
        <v>182</v>
      </c>
    </row>
    <row r="126" customFormat="false" ht="12.75" hidden="false" customHeight="false" outlineLevel="0" collapsed="false">
      <c r="A126" s="9" t="s">
        <v>42</v>
      </c>
      <c r="B126" s="10" t="s">
        <v>70</v>
      </c>
      <c r="C126" s="9" t="n">
        <v>200</v>
      </c>
      <c r="D126" s="11" t="n">
        <f aca="false">1.15</f>
        <v>1.15</v>
      </c>
      <c r="E126" s="11"/>
      <c r="F126" s="11" t="n">
        <v>12.03</v>
      </c>
      <c r="G126" s="11" t="n">
        <v>55.4</v>
      </c>
    </row>
    <row r="127" customFormat="false" ht="12.75" hidden="false" customHeight="false" outlineLevel="0" collapsed="false">
      <c r="A127" s="12"/>
      <c r="B127" s="10" t="s">
        <v>100</v>
      </c>
      <c r="C127" s="9" t="n">
        <v>20</v>
      </c>
      <c r="D127" s="11" t="n">
        <v>1</v>
      </c>
      <c r="E127" s="11" t="n">
        <v>0.08</v>
      </c>
      <c r="F127" s="11" t="n">
        <v>8</v>
      </c>
      <c r="G127" s="11" t="n">
        <v>38.52</v>
      </c>
    </row>
    <row r="128" customFormat="false" ht="12.75" hidden="false" customHeight="true" outlineLevel="0" collapsed="false">
      <c r="A128" s="13" t="s">
        <v>29</v>
      </c>
      <c r="B128" s="13"/>
      <c r="C128" s="6" t="n">
        <f aca="false">SUM(C122:C127)</f>
        <v>880</v>
      </c>
      <c r="D128" s="11"/>
      <c r="E128" s="11"/>
      <c r="F128" s="11"/>
      <c r="G128" s="11"/>
    </row>
    <row r="129" customFormat="false" ht="27.95" hidden="false" customHeight="true" outlineLevel="0" collapsed="false">
      <c r="A129" s="7" t="s">
        <v>66</v>
      </c>
      <c r="B129" s="7"/>
      <c r="C129" s="7"/>
      <c r="D129" s="8" t="n">
        <f aca="false">D130+D137</f>
        <v>59.676</v>
      </c>
      <c r="E129" s="8" t="n">
        <f aca="false">E130+E137</f>
        <v>35.6565</v>
      </c>
      <c r="F129" s="8" t="n">
        <f aca="false">F130+F137</f>
        <v>219.0269</v>
      </c>
      <c r="G129" s="8" t="n">
        <f aca="false">G130+G137</f>
        <v>1491.27244</v>
      </c>
    </row>
    <row r="130" customFormat="false" ht="12.75" hidden="false" customHeight="false" outlineLevel="0" collapsed="false">
      <c r="A130" s="6"/>
      <c r="B130" s="7" t="s">
        <v>18</v>
      </c>
      <c r="C130" s="6"/>
      <c r="D130" s="8" t="n">
        <f aca="false">D131+D132+D133+D134+D135</f>
        <v>35.6536</v>
      </c>
      <c r="E130" s="8" t="n">
        <f aca="false">E131+E132+E133+E134+E135</f>
        <v>14.3833</v>
      </c>
      <c r="F130" s="8" t="n">
        <f aca="false">F131+F132+F133+F134+F135</f>
        <v>83.43</v>
      </c>
      <c r="G130" s="8" t="n">
        <f aca="false">G131+G132+G133+G134+G135</f>
        <v>629.687</v>
      </c>
    </row>
    <row r="131" customFormat="false" ht="15" hidden="false" customHeight="true" outlineLevel="0" collapsed="false">
      <c r="A131" s="9"/>
      <c r="B131" s="10" t="s">
        <v>67</v>
      </c>
      <c r="C131" s="9" t="n">
        <v>40</v>
      </c>
      <c r="D131" s="11" t="n">
        <v>5.08</v>
      </c>
      <c r="E131" s="11" t="n">
        <v>4.6</v>
      </c>
      <c r="F131" s="11" t="n">
        <v>0.28</v>
      </c>
      <c r="G131" s="11" t="n">
        <v>63.912</v>
      </c>
    </row>
    <row r="132" customFormat="false" ht="25.5" hidden="false" customHeight="false" outlineLevel="0" collapsed="false">
      <c r="A132" s="9" t="s">
        <v>68</v>
      </c>
      <c r="B132" s="19" t="s">
        <v>69</v>
      </c>
      <c r="C132" s="20" t="n">
        <v>160</v>
      </c>
      <c r="D132" s="21" t="n">
        <f aca="false">18.92*1.33+0.06</f>
        <v>25.2236</v>
      </c>
      <c r="E132" s="21" t="n">
        <f aca="false">7.01*1.33+0.06</f>
        <v>9.3833</v>
      </c>
      <c r="F132" s="21" t="n">
        <f aca="false">15*1.33+16.77</f>
        <v>36.72</v>
      </c>
      <c r="G132" s="21" t="n">
        <v>344.61</v>
      </c>
    </row>
    <row r="133" customFormat="false" ht="12.75" hidden="false" customHeight="false" outlineLevel="0" collapsed="false">
      <c r="A133" s="9"/>
      <c r="B133" s="10" t="s">
        <v>45</v>
      </c>
      <c r="C133" s="9" t="n">
        <v>100</v>
      </c>
      <c r="D133" s="11" t="n">
        <v>0.4</v>
      </c>
      <c r="E133" s="11" t="n">
        <v>0</v>
      </c>
      <c r="F133" s="11" t="n">
        <v>9.8</v>
      </c>
      <c r="G133" s="11" t="n">
        <v>42.84</v>
      </c>
    </row>
    <row r="134" customFormat="false" ht="16.5" hidden="false" customHeight="true" outlineLevel="0" collapsed="false">
      <c r="A134" s="9" t="s">
        <v>42</v>
      </c>
      <c r="B134" s="10" t="s">
        <v>70</v>
      </c>
      <c r="C134" s="9" t="n">
        <v>200</v>
      </c>
      <c r="D134" s="11" t="n">
        <v>1.15</v>
      </c>
      <c r="E134" s="11"/>
      <c r="F134" s="11" t="n">
        <v>12.03</v>
      </c>
      <c r="G134" s="11" t="n">
        <v>55.4</v>
      </c>
    </row>
    <row r="135" customFormat="false" ht="12.75" hidden="false" customHeight="false" outlineLevel="0" collapsed="false">
      <c r="A135" s="9"/>
      <c r="B135" s="10" t="s">
        <v>28</v>
      </c>
      <c r="C135" s="9" t="n">
        <v>50</v>
      </c>
      <c r="D135" s="11" t="n">
        <f aca="false">3.04*1.25</f>
        <v>3.8</v>
      </c>
      <c r="E135" s="11" t="n">
        <f aca="false">0.32*1.25</f>
        <v>0.4</v>
      </c>
      <c r="F135" s="11" t="n">
        <f aca="false">19.68*1.25</f>
        <v>24.6</v>
      </c>
      <c r="G135" s="11" t="n">
        <f aca="false">98.34*1.25</f>
        <v>122.925</v>
      </c>
    </row>
    <row r="136" customFormat="false" ht="12.75" hidden="false" customHeight="true" outlineLevel="0" collapsed="false">
      <c r="A136" s="13" t="s">
        <v>29</v>
      </c>
      <c r="B136" s="13"/>
      <c r="C136" s="6" t="n">
        <f aca="false">SUM(C131:C135)</f>
        <v>550</v>
      </c>
      <c r="D136" s="11"/>
      <c r="E136" s="11"/>
      <c r="F136" s="11"/>
      <c r="G136" s="11"/>
    </row>
    <row r="137" customFormat="false" ht="18.75" hidden="false" customHeight="true" outlineLevel="0" collapsed="false">
      <c r="A137" s="9"/>
      <c r="B137" s="7" t="s">
        <v>81</v>
      </c>
      <c r="C137" s="6"/>
      <c r="D137" s="8" t="n">
        <f aca="false">D138+D139+D140+D141+D142+D143</f>
        <v>24.0224</v>
      </c>
      <c r="E137" s="8" t="n">
        <f aca="false">E138+E139+E140+E141+E142+E143</f>
        <v>21.2732</v>
      </c>
      <c r="F137" s="8" t="n">
        <f aca="false">F138+F139+F140+F141+F142+F143</f>
        <v>135.5969</v>
      </c>
      <c r="G137" s="8" t="n">
        <f aca="false">G138+G139+G140+G141+G142+G143</f>
        <v>861.58544</v>
      </c>
    </row>
    <row r="138" customFormat="false" ht="12.75" hidden="false" customHeight="false" outlineLevel="0" collapsed="false">
      <c r="A138" s="12" t="s">
        <v>107</v>
      </c>
      <c r="B138" s="10" t="s">
        <v>108</v>
      </c>
      <c r="C138" s="9" t="n">
        <v>100</v>
      </c>
      <c r="D138" s="11" t="n">
        <f aca="false">0.74*1.66</f>
        <v>1.2284</v>
      </c>
      <c r="E138" s="11" t="n">
        <f aca="false">0.06*1.67</f>
        <v>0.1002</v>
      </c>
      <c r="F138" s="11" t="n">
        <f aca="false">16.92*1.67</f>
        <v>28.2564</v>
      </c>
      <c r="G138" s="11" t="n">
        <f aca="false">74.71*1.67</f>
        <v>124.7657</v>
      </c>
    </row>
    <row r="139" customFormat="false" ht="25.5" hidden="false" customHeight="false" outlineLevel="0" collapsed="false">
      <c r="A139" s="9" t="s">
        <v>113</v>
      </c>
      <c r="B139" s="10" t="s">
        <v>114</v>
      </c>
      <c r="C139" s="9" t="n">
        <v>255</v>
      </c>
      <c r="D139" s="11" t="n">
        <f aca="false">3.96*1.25</f>
        <v>4.95</v>
      </c>
      <c r="E139" s="11" t="n">
        <f aca="false">4.86*1.25</f>
        <v>6.075</v>
      </c>
      <c r="F139" s="11" t="n">
        <f aca="false">17.01*1.25</f>
        <v>21.2625</v>
      </c>
      <c r="G139" s="11" t="n">
        <f aca="false">131.81*1.254</f>
        <v>165.28974</v>
      </c>
    </row>
    <row r="140" customFormat="false" ht="12.75" hidden="false" customHeight="false" outlineLevel="0" collapsed="false">
      <c r="A140" s="9" t="s">
        <v>31</v>
      </c>
      <c r="B140" s="10" t="s">
        <v>78</v>
      </c>
      <c r="C140" s="9" t="n">
        <v>115</v>
      </c>
      <c r="D140" s="11" t="n">
        <v>6.32</v>
      </c>
      <c r="E140" s="11" t="n">
        <v>8.79</v>
      </c>
      <c r="F140" s="11" t="n">
        <v>19.37</v>
      </c>
      <c r="G140" s="11" t="n">
        <v>187.01</v>
      </c>
    </row>
    <row r="141" customFormat="false" ht="12.75" hidden="false" customHeight="false" outlineLevel="0" collapsed="false">
      <c r="A141" s="9" t="s">
        <v>98</v>
      </c>
      <c r="B141" s="10" t="s">
        <v>99</v>
      </c>
      <c r="C141" s="9" t="n">
        <v>180</v>
      </c>
      <c r="D141" s="11" t="n">
        <f aca="false">8.77*1.2</f>
        <v>10.524</v>
      </c>
      <c r="E141" s="11" t="n">
        <f aca="false">5.19*1.2</f>
        <v>6.228</v>
      </c>
      <c r="F141" s="11" t="n">
        <f aca="false">39.6*1.23</f>
        <v>48.708</v>
      </c>
      <c r="G141" s="11" t="n">
        <v>304</v>
      </c>
    </row>
    <row r="142" customFormat="false" ht="12.75" hidden="false" customHeight="false" outlineLevel="0" collapsed="false">
      <c r="A142" s="9" t="s">
        <v>35</v>
      </c>
      <c r="B142" s="10" t="s">
        <v>36</v>
      </c>
      <c r="C142" s="9" t="n">
        <v>200</v>
      </c>
      <c r="D142" s="11" t="n">
        <v>0</v>
      </c>
      <c r="E142" s="11" t="n">
        <v>0</v>
      </c>
      <c r="F142" s="11" t="n">
        <v>10</v>
      </c>
      <c r="G142" s="11" t="n">
        <v>42</v>
      </c>
    </row>
    <row r="143" customFormat="false" ht="12" hidden="false" customHeight="true" outlineLevel="0" collapsed="false">
      <c r="A143" s="12"/>
      <c r="B143" s="10" t="s">
        <v>100</v>
      </c>
      <c r="C143" s="9" t="n">
        <v>20</v>
      </c>
      <c r="D143" s="11" t="n">
        <v>1</v>
      </c>
      <c r="E143" s="11" t="n">
        <v>0.08</v>
      </c>
      <c r="F143" s="11" t="n">
        <v>8</v>
      </c>
      <c r="G143" s="11" t="n">
        <v>38.52</v>
      </c>
    </row>
    <row r="144" customFormat="false" ht="12.75" hidden="false" customHeight="true" outlineLevel="0" collapsed="false">
      <c r="A144" s="13" t="s">
        <v>29</v>
      </c>
      <c r="B144" s="13"/>
      <c r="C144" s="6" t="n">
        <f aca="false">SUM(C138:C143)</f>
        <v>870</v>
      </c>
      <c r="D144" s="11"/>
      <c r="E144" s="11"/>
      <c r="F144" s="11"/>
      <c r="G144" s="11"/>
    </row>
    <row r="145" customFormat="false" ht="27.95" hidden="false" customHeight="true" outlineLevel="0" collapsed="false">
      <c r="A145" s="7" t="s">
        <v>71</v>
      </c>
      <c r="B145" s="7"/>
      <c r="C145" s="7"/>
      <c r="D145" s="8" t="n">
        <f aca="false">D146+D153</f>
        <v>50.8815</v>
      </c>
      <c r="E145" s="8" t="n">
        <f aca="false">E146+E153</f>
        <v>52.665</v>
      </c>
      <c r="F145" s="8" t="n">
        <f aca="false">F146+F153</f>
        <v>190.51076</v>
      </c>
      <c r="G145" s="8" t="n">
        <f aca="false">G146+G153</f>
        <v>1488.591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22"/>
    </row>
    <row r="146" customFormat="false" ht="12.75" hidden="false" customHeight="false" outlineLevel="0" collapsed="false">
      <c r="A146" s="6"/>
      <c r="B146" s="7" t="s">
        <v>18</v>
      </c>
      <c r="C146" s="6"/>
      <c r="D146" s="8" t="n">
        <f aca="false">D147+D148+D149+D150+D151</f>
        <v>26.382</v>
      </c>
      <c r="E146" s="8" t="n">
        <f aca="false">E147+E148+E149+E150+E151</f>
        <v>13.664</v>
      </c>
      <c r="F146" s="8" t="n">
        <f aca="false">F147+F148+F149+F150+F151</f>
        <v>87.74</v>
      </c>
      <c r="G146" s="8" t="n">
        <f aca="false">G147+G148+G149+G150+G151</f>
        <v>603.101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22"/>
    </row>
    <row r="147" customFormat="false" ht="12.75" hidden="false" customHeight="false" outlineLevel="0" collapsed="false">
      <c r="A147" s="9" t="s">
        <v>72</v>
      </c>
      <c r="B147" s="10" t="s">
        <v>73</v>
      </c>
      <c r="C147" s="9" t="n">
        <v>100</v>
      </c>
      <c r="D147" s="11" t="n">
        <v>17.83</v>
      </c>
      <c r="E147" s="11" t="n">
        <v>7.99</v>
      </c>
      <c r="F147" s="11" t="n">
        <v>4.25</v>
      </c>
      <c r="G147" s="11" t="n">
        <v>165</v>
      </c>
      <c r="H147" s="1"/>
      <c r="I147" s="1"/>
      <c r="J147" s="1"/>
      <c r="K147" s="1"/>
      <c r="L147" s="1"/>
      <c r="M147" s="1"/>
      <c r="N147" s="1"/>
      <c r="O147" s="16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customFormat="false" ht="12.75" hidden="false" customHeight="false" outlineLevel="0" collapsed="false">
      <c r="A148" s="9" t="s">
        <v>58</v>
      </c>
      <c r="B148" s="10" t="s">
        <v>59</v>
      </c>
      <c r="C148" s="9" t="n">
        <v>180</v>
      </c>
      <c r="D148" s="11" t="n">
        <f aca="false">3.81*1.2</f>
        <v>4.572</v>
      </c>
      <c r="E148" s="11" t="n">
        <f aca="false">2.72*1.2</f>
        <v>3.264</v>
      </c>
      <c r="F148" s="11" t="n">
        <f aca="false">40*1.2</f>
        <v>48</v>
      </c>
      <c r="G148" s="11" t="n">
        <f aca="false">208.48*1.2</f>
        <v>250.176</v>
      </c>
      <c r="H148" s="1"/>
      <c r="I148" s="1"/>
      <c r="J148" s="1"/>
      <c r="K148" s="1"/>
      <c r="L148" s="1"/>
      <c r="M148" s="16"/>
      <c r="N148" s="1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customFormat="false" ht="12.75" hidden="false" customHeight="false" outlineLevel="0" collapsed="false">
      <c r="A149" s="12" t="s">
        <v>74</v>
      </c>
      <c r="B149" s="10" t="s">
        <v>75</v>
      </c>
      <c r="C149" s="9" t="n">
        <v>20</v>
      </c>
      <c r="D149" s="11" t="n">
        <v>0.18</v>
      </c>
      <c r="E149" s="11" t="n">
        <v>2.01</v>
      </c>
      <c r="F149" s="11" t="n">
        <v>0.89</v>
      </c>
      <c r="G149" s="11" t="n">
        <v>23</v>
      </c>
      <c r="H149" s="1"/>
      <c r="I149" s="16"/>
      <c r="J149" s="1"/>
      <c r="K149" s="1"/>
      <c r="L149" s="1"/>
      <c r="M149" s="1"/>
      <c r="N149" s="1"/>
      <c r="O149" s="16"/>
      <c r="P149" s="16"/>
      <c r="Q149" s="16"/>
      <c r="R149" s="16"/>
      <c r="S149" s="16"/>
      <c r="T149" s="16"/>
      <c r="U149" s="16"/>
      <c r="V149" s="1"/>
      <c r="W149" s="16"/>
      <c r="X149" s="16"/>
      <c r="Y149" s="1"/>
    </row>
    <row r="150" customFormat="false" ht="12.75" hidden="false" customHeight="false" outlineLevel="0" collapsed="false">
      <c r="A150" s="9" t="s">
        <v>35</v>
      </c>
      <c r="B150" s="10" t="s">
        <v>36</v>
      </c>
      <c r="C150" s="12" t="n">
        <v>200</v>
      </c>
      <c r="D150" s="11" t="n">
        <v>0</v>
      </c>
      <c r="E150" s="11" t="n">
        <v>0</v>
      </c>
      <c r="F150" s="11" t="n">
        <v>10</v>
      </c>
      <c r="G150" s="11" t="n">
        <v>42</v>
      </c>
      <c r="H150" s="1"/>
      <c r="I150" s="16"/>
      <c r="J150" s="1"/>
      <c r="K150" s="1"/>
      <c r="L150" s="1"/>
      <c r="M150" s="1"/>
      <c r="N150" s="1"/>
      <c r="O150" s="16"/>
      <c r="P150" s="16"/>
      <c r="Q150" s="16"/>
      <c r="R150" s="16"/>
      <c r="S150" s="16"/>
      <c r="T150" s="16"/>
      <c r="U150" s="16"/>
      <c r="V150" s="1"/>
      <c r="W150" s="16"/>
      <c r="X150" s="16"/>
      <c r="Y150" s="1"/>
    </row>
    <row r="151" customFormat="false" ht="12.75" hidden="false" customHeight="false" outlineLevel="0" collapsed="false">
      <c r="A151" s="9"/>
      <c r="B151" s="10" t="s">
        <v>28</v>
      </c>
      <c r="C151" s="9" t="n">
        <v>50</v>
      </c>
      <c r="D151" s="11" t="n">
        <f aca="false">3.04*1.25</f>
        <v>3.8</v>
      </c>
      <c r="E151" s="11" t="n">
        <f aca="false">0.32*1.25</f>
        <v>0.4</v>
      </c>
      <c r="F151" s="11" t="n">
        <f aca="false">19.68*1.25</f>
        <v>24.6</v>
      </c>
      <c r="G151" s="11" t="n">
        <f aca="false">98.34*1.25</f>
        <v>122.925</v>
      </c>
      <c r="H151" s="1"/>
      <c r="I151" s="17"/>
      <c r="J151" s="1"/>
      <c r="K151" s="1"/>
      <c r="L151" s="17"/>
      <c r="M151" s="16"/>
      <c r="N151" s="16"/>
      <c r="O151" s="16"/>
      <c r="P151" s="16"/>
      <c r="Q151" s="16"/>
      <c r="R151" s="16"/>
      <c r="S151" s="16"/>
      <c r="T151" s="16"/>
      <c r="U151" s="16"/>
      <c r="V151" s="1"/>
      <c r="W151" s="16"/>
      <c r="X151" s="16"/>
      <c r="Y151" s="17"/>
    </row>
    <row r="152" customFormat="false" ht="12.75" hidden="false" customHeight="true" outlineLevel="0" collapsed="false">
      <c r="A152" s="13" t="s">
        <v>29</v>
      </c>
      <c r="B152" s="13"/>
      <c r="C152" s="18" t="n">
        <f aca="false">SUM(C147:C151)</f>
        <v>550</v>
      </c>
      <c r="D152" s="11"/>
      <c r="E152" s="11"/>
      <c r="F152" s="11"/>
      <c r="G152" s="11"/>
      <c r="H152" s="1"/>
      <c r="I152" s="16"/>
      <c r="J152" s="1"/>
      <c r="K152" s="1"/>
      <c r="L152" s="1"/>
      <c r="M152" s="17"/>
      <c r="N152" s="17"/>
      <c r="O152" s="16"/>
      <c r="P152" s="16"/>
      <c r="Q152" s="16"/>
      <c r="R152" s="16"/>
      <c r="S152" s="16"/>
      <c r="T152" s="16"/>
      <c r="U152" s="16"/>
      <c r="V152" s="17"/>
      <c r="W152" s="16"/>
      <c r="X152" s="16"/>
      <c r="Y152" s="17"/>
    </row>
    <row r="153" customFormat="false" ht="12.75" hidden="false" customHeight="false" outlineLevel="0" collapsed="false">
      <c r="A153" s="9"/>
      <c r="B153" s="7" t="s">
        <v>81</v>
      </c>
      <c r="C153" s="6"/>
      <c r="D153" s="8" t="n">
        <f aca="false">D154+D155+D156+D157+D158+D159</f>
        <v>24.4995</v>
      </c>
      <c r="E153" s="8" t="n">
        <f aca="false">E154+E155+E156+E157+E158+E159</f>
        <v>39.001</v>
      </c>
      <c r="F153" s="8" t="n">
        <f aca="false">F154+F155+F156+F157+F158+F159</f>
        <v>102.77076</v>
      </c>
      <c r="G153" s="8" t="n">
        <f aca="false">G154+G155+G156+G157+G158+G159</f>
        <v>885.49</v>
      </c>
      <c r="H153" s="1"/>
      <c r="I153" s="16"/>
      <c r="J153" s="1"/>
      <c r="K153" s="1"/>
      <c r="L153" s="1"/>
      <c r="M153" s="17"/>
      <c r="N153" s="17"/>
      <c r="O153" s="16"/>
      <c r="P153" s="16"/>
      <c r="Q153" s="16"/>
      <c r="R153" s="16"/>
      <c r="S153" s="16"/>
      <c r="T153" s="16"/>
      <c r="U153" s="16"/>
      <c r="V153" s="17"/>
      <c r="W153" s="16"/>
      <c r="X153" s="16"/>
      <c r="Y153" s="17"/>
    </row>
    <row r="154" customFormat="false" ht="12.75" hidden="false" customHeight="false" outlineLevel="0" collapsed="false">
      <c r="A154" s="9" t="s">
        <v>38</v>
      </c>
      <c r="B154" s="10" t="s">
        <v>39</v>
      </c>
      <c r="C154" s="9" t="n">
        <v>100</v>
      </c>
      <c r="D154" s="11" t="n">
        <f aca="false">0.9*1.67</f>
        <v>1.503</v>
      </c>
      <c r="E154" s="11" t="n">
        <v>0.06</v>
      </c>
      <c r="F154" s="11" t="n">
        <f aca="false">8.28*1.667</f>
        <v>13.80276</v>
      </c>
      <c r="G154" s="11" t="n">
        <v>64.28</v>
      </c>
      <c r="H154" s="1"/>
      <c r="I154" s="16"/>
      <c r="J154" s="1"/>
      <c r="K154" s="1"/>
      <c r="L154" s="1"/>
      <c r="M154" s="17"/>
      <c r="N154" s="17"/>
      <c r="O154" s="16"/>
      <c r="P154" s="16"/>
      <c r="Q154" s="16"/>
      <c r="R154" s="16"/>
      <c r="S154" s="16"/>
      <c r="T154" s="16"/>
      <c r="U154" s="16"/>
      <c r="V154" s="17"/>
      <c r="W154" s="16"/>
      <c r="X154" s="16"/>
      <c r="Y154" s="17"/>
    </row>
    <row r="155" customFormat="false" ht="25.5" hidden="false" customHeight="false" outlineLevel="0" collapsed="false">
      <c r="A155" s="9" t="s">
        <v>130</v>
      </c>
      <c r="B155" s="10" t="s">
        <v>131</v>
      </c>
      <c r="C155" s="9" t="n">
        <v>255</v>
      </c>
      <c r="D155" s="11" t="n">
        <f aca="false">5.81*1.25</f>
        <v>7.2625</v>
      </c>
      <c r="E155" s="11" t="n">
        <f aca="false">11.82*1.25</f>
        <v>14.775</v>
      </c>
      <c r="F155" s="11" t="n">
        <f aca="false">15.48*1.25</f>
        <v>19.35</v>
      </c>
      <c r="G155" s="11" t="n">
        <f aca="false">196*1.25</f>
        <v>245</v>
      </c>
      <c r="H155" s="1"/>
      <c r="I155" s="16"/>
      <c r="J155" s="1"/>
      <c r="K155" s="1"/>
      <c r="L155" s="1"/>
      <c r="M155" s="17"/>
      <c r="N155" s="17"/>
      <c r="O155" s="16"/>
      <c r="P155" s="16"/>
      <c r="Q155" s="16"/>
      <c r="R155" s="16"/>
      <c r="S155" s="16"/>
      <c r="T155" s="16"/>
      <c r="U155" s="16"/>
      <c r="V155" s="17"/>
      <c r="W155" s="16"/>
      <c r="X155" s="16"/>
      <c r="Y155" s="17"/>
    </row>
    <row r="156" customFormat="false" ht="12.75" hidden="false" customHeight="false" outlineLevel="0" collapsed="false">
      <c r="A156" s="9" t="s">
        <v>49</v>
      </c>
      <c r="B156" s="10" t="s">
        <v>50</v>
      </c>
      <c r="C156" s="9" t="n">
        <v>105</v>
      </c>
      <c r="D156" s="11" t="n">
        <v>6.14</v>
      </c>
      <c r="E156" s="11" t="n">
        <v>11.91</v>
      </c>
      <c r="F156" s="11" t="n">
        <v>10.92</v>
      </c>
      <c r="G156" s="11" t="n">
        <v>178.84</v>
      </c>
      <c r="H156" s="1"/>
      <c r="I156" s="16"/>
      <c r="J156" s="1"/>
      <c r="K156" s="1"/>
      <c r="L156" s="1"/>
      <c r="M156" s="17"/>
      <c r="N156" s="17"/>
      <c r="O156" s="16"/>
      <c r="P156" s="16"/>
      <c r="Q156" s="16"/>
      <c r="R156" s="16"/>
      <c r="S156" s="16"/>
      <c r="T156" s="16"/>
      <c r="U156" s="16"/>
      <c r="V156" s="17"/>
      <c r="W156" s="16"/>
      <c r="X156" s="16"/>
      <c r="Y156" s="17"/>
    </row>
    <row r="157" customFormat="false" ht="12.75" hidden="false" customHeight="false" outlineLevel="0" collapsed="false">
      <c r="A157" s="9" t="s">
        <v>132</v>
      </c>
      <c r="B157" s="10" t="s">
        <v>133</v>
      </c>
      <c r="C157" s="9" t="n">
        <v>180</v>
      </c>
      <c r="D157" s="11" t="n">
        <f aca="false">5.77*1.2</f>
        <v>6.924</v>
      </c>
      <c r="E157" s="11" t="n">
        <f aca="false">10.08*1.2</f>
        <v>12.096</v>
      </c>
      <c r="F157" s="11" t="n">
        <f aca="false">30.69*1.2</f>
        <v>36.828</v>
      </c>
      <c r="G157" s="11" t="n">
        <f aca="false">244*1.2</f>
        <v>292.8</v>
      </c>
      <c r="H157" s="1"/>
      <c r="I157" s="16"/>
      <c r="J157" s="1"/>
      <c r="K157" s="1"/>
      <c r="L157" s="1"/>
      <c r="M157" s="17"/>
      <c r="N157" s="17"/>
      <c r="O157" s="16"/>
      <c r="P157" s="16"/>
      <c r="Q157" s="16"/>
      <c r="R157" s="16"/>
      <c r="S157" s="16"/>
      <c r="T157" s="16"/>
      <c r="U157" s="16"/>
      <c r="V157" s="17"/>
      <c r="W157" s="16"/>
      <c r="X157" s="16"/>
      <c r="Y157" s="17"/>
    </row>
    <row r="158" customFormat="false" ht="12.75" hidden="false" customHeight="false" outlineLevel="0" collapsed="false">
      <c r="A158" s="9" t="s">
        <v>42</v>
      </c>
      <c r="B158" s="10" t="s">
        <v>70</v>
      </c>
      <c r="C158" s="9" t="n">
        <v>200</v>
      </c>
      <c r="D158" s="11" t="n">
        <v>1.15</v>
      </c>
      <c r="E158" s="11"/>
      <c r="F158" s="11" t="n">
        <v>12.03</v>
      </c>
      <c r="G158" s="11" t="n">
        <v>55.4</v>
      </c>
      <c r="H158" s="1"/>
      <c r="I158" s="16"/>
      <c r="J158" s="1"/>
      <c r="K158" s="1"/>
      <c r="L158" s="1"/>
      <c r="M158" s="17"/>
      <c r="N158" s="17"/>
      <c r="O158" s="16"/>
      <c r="P158" s="16"/>
      <c r="Q158" s="16"/>
      <c r="R158" s="16"/>
      <c r="S158" s="16"/>
      <c r="T158" s="16"/>
      <c r="U158" s="16"/>
      <c r="V158" s="17"/>
      <c r="W158" s="16"/>
      <c r="X158" s="16"/>
      <c r="Y158" s="17"/>
    </row>
    <row r="159" customFormat="false" ht="12.75" hidden="false" customHeight="false" outlineLevel="0" collapsed="false">
      <c r="A159" s="12"/>
      <c r="B159" s="10" t="s">
        <v>28</v>
      </c>
      <c r="C159" s="9" t="n">
        <v>20</v>
      </c>
      <c r="D159" s="11" t="n">
        <v>1.52</v>
      </c>
      <c r="E159" s="11" t="n">
        <v>0.16</v>
      </c>
      <c r="F159" s="11" t="n">
        <v>9.84</v>
      </c>
      <c r="G159" s="11" t="n">
        <v>49.17</v>
      </c>
      <c r="H159" s="1"/>
      <c r="I159" s="16"/>
      <c r="J159" s="1"/>
      <c r="K159" s="1"/>
      <c r="L159" s="1"/>
      <c r="M159" s="17"/>
      <c r="N159" s="17"/>
      <c r="O159" s="16"/>
      <c r="P159" s="16"/>
      <c r="Q159" s="16"/>
      <c r="R159" s="16"/>
      <c r="S159" s="16"/>
      <c r="T159" s="16"/>
      <c r="U159" s="16"/>
      <c r="V159" s="17"/>
      <c r="W159" s="16"/>
      <c r="X159" s="16"/>
      <c r="Y159" s="17"/>
    </row>
    <row r="160" customFormat="false" ht="12.75" hidden="false" customHeight="true" outlineLevel="0" collapsed="false">
      <c r="A160" s="13" t="s">
        <v>29</v>
      </c>
      <c r="B160" s="13"/>
      <c r="C160" s="6" t="n">
        <f aca="false">SUM(C154:C159)</f>
        <v>860</v>
      </c>
      <c r="D160" s="9"/>
      <c r="E160" s="9"/>
      <c r="F160" s="9"/>
      <c r="G160" s="9"/>
      <c r="H160" s="1"/>
      <c r="I160" s="16"/>
      <c r="J160" s="1"/>
      <c r="K160" s="1"/>
      <c r="L160" s="1"/>
      <c r="M160" s="17"/>
      <c r="N160" s="17"/>
      <c r="O160" s="16"/>
      <c r="P160" s="16"/>
      <c r="Q160" s="16"/>
      <c r="R160" s="16"/>
      <c r="S160" s="16"/>
      <c r="T160" s="16"/>
      <c r="U160" s="16"/>
      <c r="V160" s="17"/>
      <c r="W160" s="16"/>
      <c r="X160" s="16"/>
      <c r="Y160" s="17"/>
    </row>
  </sheetData>
  <mergeCells count="37">
    <mergeCell ref="A1:G2"/>
    <mergeCell ref="A3:G4"/>
    <mergeCell ref="A5:A6"/>
    <mergeCell ref="B5:B6"/>
    <mergeCell ref="C5:C6"/>
    <mergeCell ref="D5:F5"/>
    <mergeCell ref="G5:G6"/>
    <mergeCell ref="A8:C8"/>
    <mergeCell ref="A18:B18"/>
    <mergeCell ref="A25:B25"/>
    <mergeCell ref="A26:C26"/>
    <mergeCell ref="A32:B32"/>
    <mergeCell ref="A40:B40"/>
    <mergeCell ref="A41:C41"/>
    <mergeCell ref="A47:B47"/>
    <mergeCell ref="A55:B55"/>
    <mergeCell ref="A56:C56"/>
    <mergeCell ref="A62:B62"/>
    <mergeCell ref="A69:B69"/>
    <mergeCell ref="A70:C70"/>
    <mergeCell ref="A76:B76"/>
    <mergeCell ref="A84:B84"/>
    <mergeCell ref="A85:C85"/>
    <mergeCell ref="A91:B91"/>
    <mergeCell ref="A98:B98"/>
    <mergeCell ref="A99:C99"/>
    <mergeCell ref="A105:B105"/>
    <mergeCell ref="A113:B113"/>
    <mergeCell ref="A114:C114"/>
    <mergeCell ref="A120:B120"/>
    <mergeCell ref="A128:B128"/>
    <mergeCell ref="A129:C129"/>
    <mergeCell ref="A136:B136"/>
    <mergeCell ref="A144:B144"/>
    <mergeCell ref="A145:C145"/>
    <mergeCell ref="A152:B152"/>
    <mergeCell ref="A160:B160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A1:AK159"/>
  <sheetViews>
    <sheetView showFormulas="false" showGridLines="true" showRowColHeaders="true" showZeros="true" rightToLeft="false" tabSelected="false" showOutlineSymbols="true" defaultGridColor="true" view="normal" topLeftCell="A127" colorId="64" zoomScale="136" zoomScaleNormal="136" zoomScalePageLayoutView="100" workbookViewId="0">
      <selection pane="topLeft" activeCell="B155" activeCellId="0" sqref="B155"/>
    </sheetView>
  </sheetViews>
  <sheetFormatPr defaultColWidth="9.15625" defaultRowHeight="12.75" zeroHeight="false" outlineLevelRow="0" outlineLevelCol="0"/>
  <cols>
    <col collapsed="false" customWidth="true" hidden="false" outlineLevel="0" max="1" min="1" style="39" width="10.99"/>
    <col collapsed="false" customWidth="true" hidden="false" outlineLevel="0" max="2" min="2" style="40" width="32.86"/>
    <col collapsed="false" customWidth="true" hidden="false" outlineLevel="0" max="3" min="3" style="40" width="7.86"/>
    <col collapsed="false" customWidth="true" hidden="false" outlineLevel="0" max="4" min="4" style="40" width="7.29"/>
    <col collapsed="false" customWidth="true" hidden="false" outlineLevel="0" max="5" min="5" style="40" width="7.71"/>
    <col collapsed="false" customWidth="true" hidden="false" outlineLevel="0" max="6" min="6" style="40" width="7.42"/>
    <col collapsed="false" customWidth="true" hidden="false" outlineLevel="0" max="7" min="7" style="40" width="8.57"/>
    <col collapsed="false" customWidth="true" hidden="true" outlineLevel="0" max="8" min="8" style="40" width="5.57"/>
    <col collapsed="false" customWidth="true" hidden="true" outlineLevel="0" max="9" min="9" style="40" width="6.57"/>
    <col collapsed="false" customWidth="true" hidden="true" outlineLevel="0" max="10" min="10" style="40" width="7.42"/>
    <col collapsed="false" customWidth="true" hidden="true" outlineLevel="0" max="11" min="11" style="40" width="7"/>
    <col collapsed="false" customWidth="true" hidden="true" outlineLevel="0" max="12" min="12" style="40" width="6.71"/>
    <col collapsed="false" customWidth="true" hidden="true" outlineLevel="0" max="13" min="13" style="40" width="6.28"/>
    <col collapsed="false" customWidth="true" hidden="true" outlineLevel="0" max="14" min="14" style="40" width="5.86"/>
    <col collapsed="false" customWidth="false" hidden="true" outlineLevel="0" max="16" min="15" style="40" width="9.14"/>
    <col collapsed="false" customWidth="true" hidden="true" outlineLevel="0" max="17" min="17" style="40" width="14.28"/>
    <col collapsed="false" customWidth="true" hidden="true" outlineLevel="0" max="18" min="18" style="40" width="11.52"/>
    <col collapsed="false" customWidth="false" hidden="false" outlineLevel="0" max="1024" min="19" style="40" width="9.14"/>
  </cols>
  <sheetData>
    <row r="1" customFormat="false" ht="12.75" hidden="false" customHeight="false" outlineLevel="0" collapsed="false">
      <c r="B1" s="40" t="s">
        <v>147</v>
      </c>
      <c r="C1" s="41" t="s">
        <v>148</v>
      </c>
      <c r="D1" s="41"/>
      <c r="E1" s="41"/>
      <c r="F1" s="41"/>
      <c r="G1" s="41"/>
      <c r="H1" s="41"/>
      <c r="I1" s="41"/>
      <c r="J1" s="41"/>
    </row>
    <row r="2" customFormat="false" ht="12.75" hidden="false" customHeight="false" outlineLevel="0" collapsed="false">
      <c r="B2" s="40" t="s">
        <v>149</v>
      </c>
      <c r="C2" s="41"/>
      <c r="D2" s="41"/>
      <c r="E2" s="41"/>
      <c r="F2" s="41"/>
      <c r="G2" s="41"/>
      <c r="H2" s="41"/>
      <c r="I2" s="41"/>
      <c r="J2" s="41"/>
    </row>
    <row r="3" customFormat="false" ht="33.75" hidden="false" customHeight="true" outlineLevel="0" collapsed="false">
      <c r="A3" s="42" t="s">
        <v>150</v>
      </c>
      <c r="B3" s="43" t="s">
        <v>151</v>
      </c>
      <c r="C3" s="44" t="s">
        <v>152</v>
      </c>
      <c r="D3" s="45" t="s">
        <v>153</v>
      </c>
      <c r="E3" s="45"/>
      <c r="F3" s="45"/>
      <c r="G3" s="46" t="s">
        <v>6</v>
      </c>
      <c r="H3" s="47" t="s">
        <v>154</v>
      </c>
      <c r="I3" s="47"/>
      <c r="J3" s="47" t="s">
        <v>155</v>
      </c>
      <c r="K3" s="48" t="s">
        <v>156</v>
      </c>
      <c r="L3" s="48"/>
      <c r="M3" s="48"/>
      <c r="N3" s="48"/>
    </row>
    <row r="4" customFormat="false" ht="34.5" hidden="false" customHeight="true" outlineLevel="0" collapsed="false">
      <c r="A4" s="49" t="s">
        <v>157</v>
      </c>
      <c r="B4" s="50" t="s">
        <v>158</v>
      </c>
      <c r="C4" s="51" t="s">
        <v>159</v>
      </c>
      <c r="D4" s="52" t="s">
        <v>7</v>
      </c>
      <c r="E4" s="52" t="s">
        <v>8</v>
      </c>
      <c r="F4" s="53" t="s">
        <v>9</v>
      </c>
      <c r="G4" s="46"/>
      <c r="H4" s="54" t="s">
        <v>160</v>
      </c>
      <c r="I4" s="55" t="s">
        <v>161</v>
      </c>
      <c r="J4" s="56" t="s">
        <v>162</v>
      </c>
      <c r="K4" s="54" t="s">
        <v>163</v>
      </c>
      <c r="L4" s="54" t="s">
        <v>164</v>
      </c>
      <c r="M4" s="54" t="s">
        <v>165</v>
      </c>
      <c r="N4" s="54" t="s">
        <v>166</v>
      </c>
    </row>
    <row r="5" customFormat="false" ht="12.75" hidden="false" customHeight="false" outlineLevel="0" collapsed="false">
      <c r="A5" s="57" t="s">
        <v>10</v>
      </c>
      <c r="B5" s="58" t="s">
        <v>11</v>
      </c>
      <c r="C5" s="59" t="s">
        <v>12</v>
      </c>
      <c r="D5" s="58" t="s">
        <v>13</v>
      </c>
      <c r="E5" s="59" t="s">
        <v>14</v>
      </c>
      <c r="F5" s="59" t="s">
        <v>15</v>
      </c>
      <c r="G5" s="59" t="s">
        <v>16</v>
      </c>
      <c r="H5" s="60" t="s">
        <v>167</v>
      </c>
      <c r="I5" s="60" t="s">
        <v>168</v>
      </c>
      <c r="J5" s="60" t="n">
        <v>11</v>
      </c>
      <c r="K5" s="60" t="n">
        <v>18</v>
      </c>
      <c r="L5" s="60" t="n">
        <v>19</v>
      </c>
      <c r="M5" s="60" t="n">
        <v>20</v>
      </c>
      <c r="N5" s="60" t="n">
        <v>21</v>
      </c>
    </row>
    <row r="6" customFormat="false" ht="12.75" hidden="false" customHeight="false" outlineLevel="0" collapsed="false">
      <c r="A6" s="61" t="s">
        <v>169</v>
      </c>
      <c r="B6" s="62" t="s">
        <v>170</v>
      </c>
      <c r="C6" s="62"/>
      <c r="D6" s="63" t="n">
        <f aca="false">D7+D17</f>
        <v>42.2</v>
      </c>
      <c r="E6" s="63" t="n">
        <f aca="false">E7+E17</f>
        <v>48.41</v>
      </c>
      <c r="F6" s="63" t="n">
        <f aca="false">F7+F17</f>
        <v>188.9</v>
      </c>
      <c r="G6" s="63" t="n">
        <f aca="false">G7+G17</f>
        <v>1407.66</v>
      </c>
      <c r="H6" s="63" t="n">
        <f aca="false">H7+H17</f>
        <v>0.55</v>
      </c>
      <c r="I6" s="63" t="n">
        <f aca="false">I7+I17</f>
        <v>41.79</v>
      </c>
      <c r="J6" s="63" t="n">
        <f aca="false">J7+J17</f>
        <v>20</v>
      </c>
      <c r="K6" s="63" t="n">
        <f aca="false">K7+K17</f>
        <v>471.98</v>
      </c>
      <c r="L6" s="63" t="n">
        <f aca="false">L7+L17</f>
        <v>138.25</v>
      </c>
      <c r="M6" s="63" t="n">
        <f aca="false">M7+M17</f>
        <v>86.35</v>
      </c>
      <c r="N6" s="63" t="n">
        <f aca="false">N7+N17</f>
        <v>10.61</v>
      </c>
      <c r="O6" s="64" t="n">
        <f aca="false">O7+O17</f>
        <v>139.3</v>
      </c>
    </row>
    <row r="7" customFormat="false" ht="12.75" hidden="false" customHeight="false" outlineLevel="0" collapsed="false">
      <c r="A7" s="65"/>
      <c r="B7" s="66" t="s">
        <v>18</v>
      </c>
      <c r="C7" s="66"/>
      <c r="D7" s="63" t="n">
        <f aca="false">D8+D9+D10+D11+D12+D13</f>
        <v>17.49</v>
      </c>
      <c r="E7" s="63" t="n">
        <f aca="false">E8+E9+E10+E11+E12+E13</f>
        <v>23.47</v>
      </c>
      <c r="F7" s="63" t="n">
        <f aca="false">F8+F9+F10+F11+F12+F13</f>
        <v>98.17</v>
      </c>
      <c r="G7" s="63" t="n">
        <f aca="false">G8+G9+G10+G11+G12+G13</f>
        <v>698.32</v>
      </c>
      <c r="H7" s="63" t="n">
        <f aca="false">H11+H12+H13+H14+H15</f>
        <v>0.3</v>
      </c>
      <c r="I7" s="63" t="n">
        <f aca="false">I11+I12+I13+I14+I15</f>
        <v>18.31</v>
      </c>
      <c r="J7" s="63" t="n">
        <f aca="false">J11+J12+J13+J14+J15</f>
        <v>20</v>
      </c>
      <c r="K7" s="63" t="n">
        <f aca="false">K11+K12+K13+K14+K15</f>
        <v>347.5</v>
      </c>
      <c r="L7" s="63" t="n">
        <f aca="false">L11+L12+L13+L14+L15</f>
        <v>2.87</v>
      </c>
      <c r="M7" s="63" t="n">
        <f aca="false">M11+M12+M13+M14+M15</f>
        <v>40.04</v>
      </c>
      <c r="N7" s="63" t="n">
        <f aca="false">N11+N12+N13+N14+N15</f>
        <v>5.79</v>
      </c>
      <c r="O7" s="64" t="n">
        <f aca="false">O11+O12+O13+O14+O15</f>
        <v>69.7</v>
      </c>
      <c r="Q7" s="40" t="n">
        <v>470</v>
      </c>
    </row>
    <row r="8" customFormat="false" ht="12.75" hidden="false" customHeight="false" outlineLevel="0" collapsed="false">
      <c r="A8" s="67" t="s">
        <v>19</v>
      </c>
      <c r="B8" s="68" t="s">
        <v>20</v>
      </c>
      <c r="C8" s="69" t="n">
        <v>10</v>
      </c>
      <c r="D8" s="70" t="n">
        <v>2.6</v>
      </c>
      <c r="E8" s="70" t="n">
        <v>2.65</v>
      </c>
      <c r="F8" s="70" t="n">
        <v>0.35</v>
      </c>
      <c r="G8" s="70" t="n">
        <v>36.24</v>
      </c>
      <c r="H8" s="63"/>
      <c r="I8" s="63"/>
      <c r="J8" s="63"/>
      <c r="K8" s="63"/>
      <c r="L8" s="63"/>
      <c r="M8" s="63"/>
      <c r="N8" s="63"/>
      <c r="O8" s="71"/>
      <c r="P8" s="40" t="n">
        <f aca="false">(D8+F8)*4.2+E8*9</f>
        <v>36.24</v>
      </c>
    </row>
    <row r="9" customFormat="false" ht="12.75" hidden="false" customHeight="false" outlineLevel="0" collapsed="false">
      <c r="A9" s="67" t="s">
        <v>21</v>
      </c>
      <c r="B9" s="68" t="s">
        <v>22</v>
      </c>
      <c r="C9" s="69" t="n">
        <v>5</v>
      </c>
      <c r="D9" s="70" t="n">
        <v>0.05</v>
      </c>
      <c r="E9" s="70" t="n">
        <v>3.63</v>
      </c>
      <c r="F9" s="70" t="n">
        <v>0.07</v>
      </c>
      <c r="G9" s="70" t="n">
        <v>33.11</v>
      </c>
      <c r="H9" s="63"/>
      <c r="I9" s="63"/>
      <c r="J9" s="63"/>
      <c r="K9" s="63"/>
      <c r="L9" s="63"/>
      <c r="M9" s="63"/>
      <c r="N9" s="63"/>
      <c r="O9" s="71"/>
      <c r="P9" s="40" t="n">
        <f aca="false">(D9+F9)*4.2+E9*9</f>
        <v>33.174</v>
      </c>
    </row>
    <row r="10" customFormat="false" ht="24" hidden="false" customHeight="false" outlineLevel="0" collapsed="false">
      <c r="A10" s="72" t="s">
        <v>23</v>
      </c>
      <c r="B10" s="73" t="s">
        <v>24</v>
      </c>
      <c r="C10" s="59" t="n">
        <v>205</v>
      </c>
      <c r="D10" s="74" t="n">
        <v>6.81</v>
      </c>
      <c r="E10" s="74" t="n">
        <v>10.45</v>
      </c>
      <c r="F10" s="74" t="n">
        <v>29.51</v>
      </c>
      <c r="G10" s="74" t="n">
        <v>246.6</v>
      </c>
      <c r="H10" s="63"/>
      <c r="I10" s="63"/>
      <c r="J10" s="63"/>
      <c r="K10" s="63"/>
      <c r="L10" s="63"/>
      <c r="M10" s="63"/>
      <c r="N10" s="63"/>
      <c r="O10" s="71"/>
      <c r="P10" s="40" t="n">
        <f aca="false">(D10+F10)*4.2+E10*9</f>
        <v>246.594</v>
      </c>
    </row>
    <row r="11" customFormat="false" ht="12.75" hidden="false" customHeight="false" outlineLevel="0" collapsed="false">
      <c r="A11" s="72"/>
      <c r="B11" s="75" t="s">
        <v>60</v>
      </c>
      <c r="C11" s="69" t="n">
        <v>40</v>
      </c>
      <c r="D11" s="76" t="n">
        <f aca="false">1.5*3/1.5</f>
        <v>3</v>
      </c>
      <c r="E11" s="77" t="n">
        <f aca="false">2.36*3/1.5</f>
        <v>4.72</v>
      </c>
      <c r="F11" s="76" t="n">
        <f aca="false">14.98*3/1.5</f>
        <v>29.96</v>
      </c>
      <c r="G11" s="76" t="n">
        <f aca="false">91*3/1.5</f>
        <v>182</v>
      </c>
      <c r="H11" s="78" t="s">
        <v>171</v>
      </c>
      <c r="I11" s="78" t="s">
        <v>172</v>
      </c>
      <c r="J11" s="78" t="s">
        <v>173</v>
      </c>
      <c r="K11" s="78" t="s">
        <v>174</v>
      </c>
      <c r="L11" s="78" t="s">
        <v>175</v>
      </c>
      <c r="M11" s="78" t="s">
        <v>176</v>
      </c>
      <c r="N11" s="78" t="s">
        <v>177</v>
      </c>
      <c r="O11" s="40" t="n">
        <v>15</v>
      </c>
      <c r="P11" s="40" t="n">
        <f aca="false">(D11+F11)*4.2+E11*9</f>
        <v>180.912</v>
      </c>
    </row>
    <row r="12" customFormat="false" ht="12.75" hidden="false" customHeight="false" outlineLevel="0" collapsed="false">
      <c r="A12" s="72" t="s">
        <v>26</v>
      </c>
      <c r="B12" s="73" t="s">
        <v>27</v>
      </c>
      <c r="C12" s="59" t="n">
        <v>200</v>
      </c>
      <c r="D12" s="74" t="n">
        <v>1.99</v>
      </c>
      <c r="E12" s="74" t="n">
        <v>1.7</v>
      </c>
      <c r="F12" s="74" t="n">
        <v>18.6</v>
      </c>
      <c r="G12" s="74" t="n">
        <v>102.03</v>
      </c>
      <c r="H12" s="60" t="n">
        <v>0.03</v>
      </c>
      <c r="I12" s="60" t="n">
        <v>0.65</v>
      </c>
      <c r="J12" s="55"/>
      <c r="K12" s="60" t="n">
        <v>64.43</v>
      </c>
      <c r="L12" s="55"/>
      <c r="M12" s="55"/>
      <c r="N12" s="60" t="n">
        <v>0.4</v>
      </c>
      <c r="O12" s="40" t="n">
        <v>7.7</v>
      </c>
      <c r="P12" s="40" t="n">
        <f aca="false">(D12+F12)*4.2+E12*9</f>
        <v>101.778</v>
      </c>
    </row>
    <row r="13" customFormat="false" ht="12.75" hidden="false" customHeight="false" outlineLevel="0" collapsed="false">
      <c r="A13" s="67"/>
      <c r="B13" s="68" t="s">
        <v>28</v>
      </c>
      <c r="C13" s="69" t="n">
        <v>40</v>
      </c>
      <c r="D13" s="76" t="n">
        <v>3.04</v>
      </c>
      <c r="E13" s="76" t="n">
        <v>0.32</v>
      </c>
      <c r="F13" s="76" t="n">
        <v>19.68</v>
      </c>
      <c r="G13" s="76" t="n">
        <v>98.34</v>
      </c>
      <c r="H13" s="55"/>
      <c r="I13" s="79" t="n">
        <v>0.28</v>
      </c>
      <c r="J13" s="55"/>
      <c r="K13" s="79" t="n">
        <v>100.5</v>
      </c>
      <c r="L13" s="55"/>
      <c r="M13" s="55"/>
      <c r="N13" s="79" t="n">
        <v>0.09</v>
      </c>
      <c r="O13" s="40" t="n">
        <v>9</v>
      </c>
      <c r="P13" s="40" t="n">
        <f aca="false">(D13+F13)*4.2+E13*9</f>
        <v>98.304</v>
      </c>
    </row>
    <row r="14" customFormat="false" ht="12.75" hidden="true" customHeight="false" outlineLevel="0" collapsed="false">
      <c r="A14" s="80"/>
      <c r="B14" s="75"/>
      <c r="C14" s="81"/>
      <c r="D14" s="76"/>
      <c r="E14" s="74"/>
      <c r="F14" s="76"/>
      <c r="G14" s="76"/>
      <c r="H14" s="60" t="n">
        <v>0.04</v>
      </c>
      <c r="I14" s="55"/>
      <c r="J14" s="55"/>
      <c r="K14" s="79" t="n">
        <v>7.6</v>
      </c>
      <c r="L14" s="55"/>
      <c r="M14" s="55"/>
      <c r="N14" s="60" t="n">
        <v>0.48</v>
      </c>
      <c r="O14" s="40" t="n">
        <v>4</v>
      </c>
      <c r="P14" s="40" t="n">
        <f aca="false">(D14+F14)*4.2+E14*9</f>
        <v>0</v>
      </c>
    </row>
    <row r="15" customFormat="false" ht="12.75" hidden="true" customHeight="false" outlineLevel="0" collapsed="false">
      <c r="A15" s="82"/>
      <c r="B15" s="75"/>
      <c r="C15" s="83"/>
      <c r="D15" s="84"/>
      <c r="E15" s="85"/>
      <c r="F15" s="84"/>
      <c r="G15" s="84"/>
      <c r="H15" s="79" t="n">
        <v>0.05</v>
      </c>
      <c r="I15" s="60" t="n">
        <v>16</v>
      </c>
      <c r="J15" s="55"/>
      <c r="K15" s="60" t="n">
        <v>25.6</v>
      </c>
      <c r="L15" s="55"/>
      <c r="M15" s="55"/>
      <c r="N15" s="60" t="n">
        <v>3.52</v>
      </c>
      <c r="O15" s="40" t="n">
        <v>34</v>
      </c>
      <c r="P15" s="40" t="n">
        <f aca="false">(D15+F15)*4.2+E15*9</f>
        <v>0</v>
      </c>
    </row>
    <row r="16" customFormat="false" ht="12.75" hidden="false" customHeight="false" outlineLevel="0" collapsed="false">
      <c r="A16" s="82"/>
      <c r="B16" s="75"/>
      <c r="C16" s="86" t="n">
        <f aca="false">SUM(C8:C15)</f>
        <v>500</v>
      </c>
      <c r="D16" s="84"/>
      <c r="E16" s="85"/>
      <c r="F16" s="84"/>
      <c r="G16" s="84"/>
      <c r="H16" s="79"/>
      <c r="I16" s="60"/>
      <c r="J16" s="55"/>
      <c r="K16" s="60"/>
      <c r="L16" s="55"/>
      <c r="M16" s="55"/>
      <c r="N16" s="60"/>
      <c r="P16" s="40" t="n">
        <f aca="false">(D16+F16)*4.2+E16*9</f>
        <v>0</v>
      </c>
    </row>
    <row r="17" customFormat="false" ht="12.75" hidden="false" customHeight="false" outlineLevel="0" collapsed="false">
      <c r="A17" s="87"/>
      <c r="B17" s="66" t="s">
        <v>81</v>
      </c>
      <c r="C17" s="66"/>
      <c r="D17" s="88" t="n">
        <f aca="false">D18+D19+D20+D21+D22</f>
        <v>24.71</v>
      </c>
      <c r="E17" s="88" t="n">
        <f aca="false">E18+E19+E20+E21+E22</f>
        <v>24.94</v>
      </c>
      <c r="F17" s="88" t="n">
        <f aca="false">F18+F19+F20+F21+F22</f>
        <v>90.73</v>
      </c>
      <c r="G17" s="88" t="n">
        <f aca="false">G18+G19+G20+G21+G22</f>
        <v>709.34</v>
      </c>
      <c r="H17" s="88" t="n">
        <f aca="false">H18+H19+H20+H21+H22</f>
        <v>0.25</v>
      </c>
      <c r="I17" s="88" t="n">
        <f aca="false">I18+I19+I20+I21+I22</f>
        <v>23.48</v>
      </c>
      <c r="J17" s="88" t="n">
        <f aca="false">J18+J19+J20+J21+J22</f>
        <v>0</v>
      </c>
      <c r="K17" s="88" t="n">
        <f aca="false">K18+K19+K20+K21+K22</f>
        <v>124.48</v>
      </c>
      <c r="L17" s="88" t="n">
        <f aca="false">L18+L19+L20+L21+L22</f>
        <v>135.38</v>
      </c>
      <c r="M17" s="88" t="n">
        <f aca="false">M18+M19+M20+M21+M22</f>
        <v>46.31</v>
      </c>
      <c r="N17" s="88" t="n">
        <f aca="false">N18+N19+N20+N21+N22</f>
        <v>4.82</v>
      </c>
      <c r="O17" s="88" t="n">
        <f aca="false">O18+O19+O20+O21+O22</f>
        <v>69.6</v>
      </c>
      <c r="P17" s="40" t="n">
        <f aca="false">(D17+F17)*4.2+E17*9</f>
        <v>709.308</v>
      </c>
      <c r="Q17" s="40" t="n">
        <v>705</v>
      </c>
    </row>
    <row r="18" customFormat="false" ht="12.75" hidden="false" customHeight="false" outlineLevel="0" collapsed="false">
      <c r="A18" s="89" t="s">
        <v>82</v>
      </c>
      <c r="B18" s="68" t="s">
        <v>83</v>
      </c>
      <c r="C18" s="90" t="n">
        <v>60</v>
      </c>
      <c r="D18" s="76" t="n">
        <v>0.94</v>
      </c>
      <c r="E18" s="76" t="n">
        <v>3.06</v>
      </c>
      <c r="F18" s="76" t="n">
        <v>5.66</v>
      </c>
      <c r="G18" s="76" t="n">
        <v>55.26</v>
      </c>
      <c r="H18" s="74" t="n">
        <v>0.01</v>
      </c>
      <c r="I18" s="74" t="n">
        <v>3.99</v>
      </c>
      <c r="J18" s="74"/>
      <c r="K18" s="74" t="n">
        <v>21.28</v>
      </c>
      <c r="L18" s="74" t="n">
        <v>24.38</v>
      </c>
      <c r="M18" s="74" t="n">
        <v>12.42</v>
      </c>
      <c r="N18" s="74" t="n">
        <v>0.79</v>
      </c>
      <c r="O18" s="91" t="n">
        <v>7.8</v>
      </c>
      <c r="P18" s="40" t="n">
        <f aca="false">(D18+F18)*4.2+E18*9</f>
        <v>55.26</v>
      </c>
    </row>
    <row r="19" customFormat="false" ht="12.75" hidden="false" customHeight="true" outlineLevel="0" collapsed="false">
      <c r="A19" s="72" t="s">
        <v>84</v>
      </c>
      <c r="B19" s="73" t="s">
        <v>178</v>
      </c>
      <c r="C19" s="59" t="n">
        <v>200</v>
      </c>
      <c r="D19" s="74" t="n">
        <v>3</v>
      </c>
      <c r="E19" s="74" t="n">
        <f aca="false">4.61-0.21</f>
        <v>4.4</v>
      </c>
      <c r="F19" s="74" t="n">
        <f aca="false">12.54-0.05</f>
        <v>12.49</v>
      </c>
      <c r="G19" s="74" t="n">
        <v>104.65</v>
      </c>
      <c r="H19" s="74" t="s">
        <v>179</v>
      </c>
      <c r="I19" s="74" t="s">
        <v>180</v>
      </c>
      <c r="J19" s="77"/>
      <c r="K19" s="74" t="s">
        <v>181</v>
      </c>
      <c r="L19" s="74" t="s">
        <v>182</v>
      </c>
      <c r="M19" s="74" t="s">
        <v>183</v>
      </c>
      <c r="N19" s="74" t="n">
        <v>0.99</v>
      </c>
      <c r="O19" s="40" t="n">
        <v>21</v>
      </c>
      <c r="P19" s="40" t="n">
        <f aca="false">(D19+F19)*4.2+E19*9</f>
        <v>104.658</v>
      </c>
    </row>
    <row r="20" customFormat="false" ht="12.75" hidden="false" customHeight="false" outlineLevel="0" collapsed="false">
      <c r="A20" s="92" t="s">
        <v>46</v>
      </c>
      <c r="B20" s="73" t="s">
        <v>47</v>
      </c>
      <c r="C20" s="59" t="n">
        <v>200</v>
      </c>
      <c r="D20" s="74" t="n">
        <v>17.73</v>
      </c>
      <c r="E20" s="74" t="n">
        <v>17.16</v>
      </c>
      <c r="F20" s="74" t="n">
        <v>42.9</v>
      </c>
      <c r="G20" s="74" t="n">
        <v>409.09</v>
      </c>
      <c r="H20" s="59" t="n">
        <v>0.05</v>
      </c>
      <c r="I20" s="59" t="n">
        <v>1.22</v>
      </c>
      <c r="J20" s="93"/>
      <c r="K20" s="59" t="n">
        <v>9.8</v>
      </c>
      <c r="L20" s="59" t="n">
        <v>16.87</v>
      </c>
      <c r="M20" s="59" t="n">
        <v>4.54</v>
      </c>
      <c r="N20" s="59" t="n">
        <v>1.39</v>
      </c>
      <c r="O20" s="40" t="n">
        <v>25</v>
      </c>
      <c r="P20" s="40" t="n">
        <f aca="false">(D20+F20)*4.2+E20*9</f>
        <v>409.086</v>
      </c>
    </row>
    <row r="21" customFormat="false" ht="12.75" hidden="false" customHeight="false" outlineLevel="0" collapsed="false">
      <c r="A21" s="94" t="s">
        <v>35</v>
      </c>
      <c r="B21" s="68" t="s">
        <v>36</v>
      </c>
      <c r="C21" s="69" t="n">
        <v>200</v>
      </c>
      <c r="D21" s="76" t="n">
        <v>0</v>
      </c>
      <c r="E21" s="77" t="n">
        <v>0</v>
      </c>
      <c r="F21" s="76" t="n">
        <v>10</v>
      </c>
      <c r="G21" s="76" t="n">
        <v>42</v>
      </c>
      <c r="H21" s="79" t="n">
        <v>0.04</v>
      </c>
      <c r="I21" s="79" t="n">
        <v>1.48</v>
      </c>
      <c r="J21" s="55"/>
      <c r="K21" s="79" t="n">
        <v>59.5</v>
      </c>
      <c r="L21" s="55"/>
      <c r="M21" s="55"/>
      <c r="N21" s="79" t="n">
        <v>1.21</v>
      </c>
      <c r="O21" s="40" t="n">
        <v>13</v>
      </c>
      <c r="P21" s="40" t="n">
        <f aca="false">(D21+F21)*4.2+E21*9</f>
        <v>42</v>
      </c>
    </row>
    <row r="22" customFormat="false" ht="12.75" hidden="false" customHeight="false" outlineLevel="0" collapsed="false">
      <c r="A22" s="67"/>
      <c r="B22" s="68" t="s">
        <v>28</v>
      </c>
      <c r="C22" s="59" t="n">
        <v>40</v>
      </c>
      <c r="D22" s="76" t="n">
        <v>3.04</v>
      </c>
      <c r="E22" s="74" t="n">
        <v>0.32</v>
      </c>
      <c r="F22" s="76" t="n">
        <v>19.68</v>
      </c>
      <c r="G22" s="76" t="n">
        <v>98.34</v>
      </c>
      <c r="H22" s="59" t="n">
        <v>0.04</v>
      </c>
      <c r="I22" s="93"/>
      <c r="J22" s="93"/>
      <c r="K22" s="69" t="n">
        <v>8</v>
      </c>
      <c r="L22" s="93" t="n">
        <v>26</v>
      </c>
      <c r="M22" s="93" t="n">
        <v>5.6</v>
      </c>
      <c r="N22" s="59" t="n">
        <v>0.44</v>
      </c>
      <c r="O22" s="40" t="n">
        <v>2.8</v>
      </c>
      <c r="P22" s="40" t="n">
        <f aca="false">(D22+F22)*4.2+E22*9</f>
        <v>98.304</v>
      </c>
    </row>
    <row r="23" customFormat="false" ht="12.75" hidden="false" customHeight="false" outlineLevel="0" collapsed="false">
      <c r="A23" s="82"/>
      <c r="B23" s="75"/>
      <c r="C23" s="86" t="n">
        <f aca="false">SUM(C18:C22)</f>
        <v>700</v>
      </c>
      <c r="D23" s="84"/>
      <c r="E23" s="85"/>
      <c r="F23" s="84"/>
      <c r="G23" s="84"/>
      <c r="H23" s="59"/>
      <c r="I23" s="93"/>
      <c r="J23" s="93"/>
      <c r="K23" s="60"/>
      <c r="L23" s="55"/>
      <c r="M23" s="55"/>
      <c r="N23" s="60"/>
      <c r="P23" s="40" t="n">
        <f aca="false">(D23+F23)*4.2+E23*9</f>
        <v>0</v>
      </c>
    </row>
    <row r="24" customFormat="false" ht="12.75" hidden="false" customHeight="false" outlineLevel="0" collapsed="false">
      <c r="A24" s="61" t="s">
        <v>184</v>
      </c>
      <c r="B24" s="66" t="s">
        <v>170</v>
      </c>
      <c r="C24" s="66"/>
      <c r="D24" s="63" t="n">
        <f aca="false">D25+D31</f>
        <v>40.46</v>
      </c>
      <c r="E24" s="63" t="n">
        <f aca="false">E25+E31</f>
        <v>43.07</v>
      </c>
      <c r="F24" s="63" t="n">
        <f aca="false">F25+F31</f>
        <v>196.01</v>
      </c>
      <c r="G24" s="63" t="n">
        <f aca="false">G25+G31</f>
        <v>1383.706</v>
      </c>
      <c r="H24" s="63" t="e">
        <f aca="false">H25+H31</f>
        <v>#REF!</v>
      </c>
      <c r="I24" s="63" t="e">
        <f aca="false">I25+I31</f>
        <v>#REF!</v>
      </c>
      <c r="J24" s="63" t="e">
        <f aca="false">J25+J31</f>
        <v>#REF!</v>
      </c>
      <c r="K24" s="63" t="e">
        <f aca="false">K25+K31</f>
        <v>#REF!</v>
      </c>
      <c r="L24" s="63" t="e">
        <f aca="false">L25+L31</f>
        <v>#REF!</v>
      </c>
      <c r="M24" s="63" t="e">
        <f aca="false">M25+M31</f>
        <v>#REF!</v>
      </c>
      <c r="N24" s="63" t="e">
        <f aca="false">N25+N31</f>
        <v>#REF!</v>
      </c>
      <c r="O24" s="64" t="e">
        <f aca="false">O25+O31</f>
        <v>#REF!</v>
      </c>
      <c r="P24" s="40" t="n">
        <f aca="false">(D24+F24)*4.2+E24*9</f>
        <v>1380.804</v>
      </c>
    </row>
    <row r="25" customFormat="false" ht="12.75" hidden="false" customHeight="false" outlineLevel="0" collapsed="false">
      <c r="A25" s="61"/>
      <c r="B25" s="66" t="s">
        <v>18</v>
      </c>
      <c r="C25" s="66"/>
      <c r="D25" s="63" t="n">
        <f aca="false">D26+D27+D28+D29</f>
        <v>15.35</v>
      </c>
      <c r="E25" s="63" t="n">
        <f aca="false">E26+E27+E28+E29</f>
        <v>11.95</v>
      </c>
      <c r="F25" s="63" t="n">
        <f aca="false">F26+F27+F28+F29</f>
        <v>108.09</v>
      </c>
      <c r="G25" s="63" t="n">
        <f aca="false">G26+G27+G28+G29</f>
        <v>627.666</v>
      </c>
      <c r="H25" s="63" t="e">
        <f aca="false">H26+H27+H28+H29+#REF!</f>
        <v>#REF!</v>
      </c>
      <c r="I25" s="63" t="e">
        <f aca="false">I26+I27+I28+I29+#REF!</f>
        <v>#REF!</v>
      </c>
      <c r="J25" s="63" t="e">
        <f aca="false">J26+J27+J28+J29+#REF!</f>
        <v>#REF!</v>
      </c>
      <c r="K25" s="63" t="e">
        <f aca="false">K26+K27+K28+K29+#REF!</f>
        <v>#REF!</v>
      </c>
      <c r="L25" s="63" t="e">
        <f aca="false">L26+L27+L28+L29+#REF!</f>
        <v>#REF!</v>
      </c>
      <c r="M25" s="63" t="e">
        <f aca="false">M26+M27+M28+M29+#REF!</f>
        <v>#REF!</v>
      </c>
      <c r="N25" s="63" t="e">
        <f aca="false">N26+N27+N28+N29+#REF!</f>
        <v>#REF!</v>
      </c>
      <c r="O25" s="64" t="e">
        <f aca="false">O26+O27+O28+O29+#REF!</f>
        <v>#REF!</v>
      </c>
      <c r="P25" s="40" t="n">
        <f aca="false">(D25+F25)*4.2+E25*9</f>
        <v>625.998</v>
      </c>
      <c r="Q25" s="40" t="n">
        <v>470</v>
      </c>
    </row>
    <row r="26" customFormat="false" ht="24" hidden="false" customHeight="false" outlineLevel="0" collapsed="false">
      <c r="A26" s="95" t="s">
        <v>23</v>
      </c>
      <c r="B26" s="96" t="s">
        <v>136</v>
      </c>
      <c r="C26" s="69" t="n">
        <v>205</v>
      </c>
      <c r="D26" s="97" t="n">
        <f aca="false">7.81</f>
        <v>7.81</v>
      </c>
      <c r="E26" s="97" t="n">
        <f aca="false">4.55</f>
        <v>4.55</v>
      </c>
      <c r="F26" s="97" t="n">
        <f aca="false">33.47</f>
        <v>33.47</v>
      </c>
      <c r="G26" s="97" t="n">
        <v>214.326</v>
      </c>
      <c r="H26" s="79" t="n">
        <v>0.04</v>
      </c>
      <c r="I26" s="79" t="n">
        <v>15</v>
      </c>
      <c r="J26" s="79"/>
      <c r="K26" s="79" t="n">
        <v>8.4</v>
      </c>
      <c r="L26" s="79"/>
      <c r="M26" s="79"/>
      <c r="N26" s="79" t="n">
        <v>0.54</v>
      </c>
      <c r="O26" s="98" t="n">
        <v>10.9</v>
      </c>
      <c r="P26" s="40" t="n">
        <f aca="false">(D26+F26)*4.2+E26*9</f>
        <v>214.326</v>
      </c>
    </row>
    <row r="27" customFormat="false" ht="12.75" hidden="false" customHeight="false" outlineLevel="0" collapsed="false">
      <c r="A27" s="99"/>
      <c r="B27" s="75" t="s">
        <v>60</v>
      </c>
      <c r="C27" s="69" t="n">
        <v>60</v>
      </c>
      <c r="D27" s="76" t="n">
        <f aca="false">1.5*3</f>
        <v>4.5</v>
      </c>
      <c r="E27" s="77" t="n">
        <f aca="false">2.36*3</f>
        <v>7.08</v>
      </c>
      <c r="F27" s="76" t="n">
        <f aca="false">14.98*3</f>
        <v>44.94</v>
      </c>
      <c r="G27" s="76" t="n">
        <f aca="false">91*3</f>
        <v>273</v>
      </c>
      <c r="H27" s="79" t="n">
        <v>0.46</v>
      </c>
      <c r="I27" s="79" t="n">
        <v>1.78</v>
      </c>
      <c r="J27" s="79"/>
      <c r="K27" s="79" t="n">
        <v>10.16</v>
      </c>
      <c r="L27" s="79" t="n">
        <v>8.54</v>
      </c>
      <c r="M27" s="79" t="n">
        <v>1.88</v>
      </c>
      <c r="N27" s="79" t="n">
        <v>1.14</v>
      </c>
      <c r="O27" s="40" t="n">
        <v>33</v>
      </c>
      <c r="P27" s="40" t="n">
        <f aca="false">(D27+F27)*4.2+E27*9</f>
        <v>271.368</v>
      </c>
    </row>
    <row r="28" customFormat="false" ht="12.75" hidden="false" customHeight="false" outlineLevel="0" collapsed="false">
      <c r="A28" s="99" t="s">
        <v>35</v>
      </c>
      <c r="B28" s="68" t="s">
        <v>36</v>
      </c>
      <c r="C28" s="69" t="n">
        <v>200</v>
      </c>
      <c r="D28" s="76" t="n">
        <v>0</v>
      </c>
      <c r="E28" s="76" t="n">
        <v>0</v>
      </c>
      <c r="F28" s="76" t="n">
        <v>10</v>
      </c>
      <c r="G28" s="76" t="n">
        <v>42</v>
      </c>
      <c r="H28" s="79" t="n">
        <v>0.19</v>
      </c>
      <c r="I28" s="79" t="n">
        <v>31.07</v>
      </c>
      <c r="J28" s="79" t="n">
        <v>25.2</v>
      </c>
      <c r="K28" s="79" t="n">
        <v>49.59</v>
      </c>
      <c r="L28" s="79" t="n">
        <v>91.3</v>
      </c>
      <c r="M28" s="79" t="n">
        <v>35.39</v>
      </c>
      <c r="N28" s="79" t="n">
        <v>1.43</v>
      </c>
      <c r="O28" s="40" t="n">
        <v>23</v>
      </c>
      <c r="P28" s="40" t="n">
        <f aca="false">(D28+F28)*4.2+E28*9</f>
        <v>42</v>
      </c>
    </row>
    <row r="29" customFormat="false" ht="12.75" hidden="false" customHeight="false" outlineLevel="0" collapsed="false">
      <c r="A29" s="100"/>
      <c r="B29" s="68" t="s">
        <v>28</v>
      </c>
      <c r="C29" s="69" t="n">
        <v>40</v>
      </c>
      <c r="D29" s="76" t="n">
        <v>3.04</v>
      </c>
      <c r="E29" s="77" t="n">
        <v>0.32</v>
      </c>
      <c r="F29" s="76" t="n">
        <v>19.68</v>
      </c>
      <c r="G29" s="76" t="n">
        <v>98.34</v>
      </c>
      <c r="H29" s="101" t="n">
        <v>0.01</v>
      </c>
      <c r="I29" s="101" t="n">
        <v>0.58</v>
      </c>
      <c r="J29" s="102"/>
      <c r="K29" s="101" t="n">
        <v>17.31</v>
      </c>
      <c r="L29" s="102"/>
      <c r="M29" s="102"/>
      <c r="N29" s="101" t="n">
        <v>0.65</v>
      </c>
      <c r="O29" s="40" t="n">
        <v>7</v>
      </c>
      <c r="P29" s="40" t="n">
        <f aca="false">(D29+F29)*4.2+E29*9</f>
        <v>98.304</v>
      </c>
    </row>
    <row r="30" customFormat="false" ht="12.75" hidden="false" customHeight="false" outlineLevel="0" collapsed="false">
      <c r="A30" s="72"/>
      <c r="B30" s="75"/>
      <c r="C30" s="103" t="n">
        <f aca="false">SUM(C26:C29)</f>
        <v>505</v>
      </c>
      <c r="D30" s="76"/>
      <c r="E30" s="74"/>
      <c r="F30" s="76"/>
      <c r="G30" s="76"/>
      <c r="H30" s="60"/>
      <c r="I30" s="55"/>
      <c r="J30" s="55"/>
      <c r="K30" s="79"/>
      <c r="L30" s="55"/>
      <c r="M30" s="55"/>
      <c r="N30" s="60"/>
      <c r="P30" s="40" t="n">
        <f aca="false">(D30+F30)*4.2+E30*9</f>
        <v>0</v>
      </c>
    </row>
    <row r="31" customFormat="false" ht="12.75" hidden="false" customHeight="false" outlineLevel="0" collapsed="false">
      <c r="A31" s="104"/>
      <c r="B31" s="66" t="s">
        <v>81</v>
      </c>
      <c r="C31" s="66"/>
      <c r="D31" s="105" t="n">
        <f aca="false">D32+D33+D34+D35+D36+D37</f>
        <v>25.11</v>
      </c>
      <c r="E31" s="105" t="n">
        <f aca="false">E32+E33+E34+E35+E36+E37</f>
        <v>31.12</v>
      </c>
      <c r="F31" s="105" t="n">
        <f aca="false">F32+F33+F34+F35+F36+F37</f>
        <v>87.92</v>
      </c>
      <c r="G31" s="105" t="n">
        <f aca="false">G32+G33+G34+G35+G36+G37</f>
        <v>756.04</v>
      </c>
      <c r="H31" s="105" t="n">
        <f aca="false">H32+H33+H34+H35+H36+H37</f>
        <v>0.669</v>
      </c>
      <c r="I31" s="105" t="n">
        <f aca="false">I32+I33+I34+I35+I36+I37</f>
        <v>28.21</v>
      </c>
      <c r="J31" s="105" t="n">
        <f aca="false">J32+J33+J34+J35+J36+J37</f>
        <v>0.9</v>
      </c>
      <c r="K31" s="105" t="n">
        <f aca="false">K32+K33+K34+K35+K36+K37</f>
        <v>162.12</v>
      </c>
      <c r="L31" s="105" t="n">
        <f aca="false">L32+L33+L34+L35+L36+L37</f>
        <v>361.56</v>
      </c>
      <c r="M31" s="105" t="n">
        <f aca="false">M32+M33+M34+M35+M36+M37</f>
        <v>128.27</v>
      </c>
      <c r="N31" s="105" t="n">
        <f aca="false">N32+N33+N34+N35+N36+N37</f>
        <v>8.6</v>
      </c>
      <c r="O31" s="106" t="n">
        <f aca="false">O32+O33+O34+O35+O36+O37</f>
        <v>78</v>
      </c>
      <c r="P31" s="40" t="n">
        <f aca="false">(D31+F31)*4.2+E31*9</f>
        <v>754.806</v>
      </c>
      <c r="Q31" s="40" t="n">
        <v>705</v>
      </c>
    </row>
    <row r="32" customFormat="false" ht="12.75" hidden="false" customHeight="false" outlineLevel="0" collapsed="false">
      <c r="A32" s="72" t="s">
        <v>86</v>
      </c>
      <c r="B32" s="107" t="s">
        <v>87</v>
      </c>
      <c r="C32" s="93" t="n">
        <v>60</v>
      </c>
      <c r="D32" s="108" t="n">
        <v>0.84</v>
      </c>
      <c r="E32" s="74" t="n">
        <v>3.06</v>
      </c>
      <c r="F32" s="74" t="n">
        <v>6.83</v>
      </c>
      <c r="G32" s="74" t="n">
        <v>59.75</v>
      </c>
      <c r="H32" s="74" t="n">
        <v>0.02</v>
      </c>
      <c r="I32" s="74" t="n">
        <v>2.53</v>
      </c>
      <c r="J32" s="74"/>
      <c r="K32" s="74" t="n">
        <v>27.92</v>
      </c>
      <c r="L32" s="74" t="n">
        <v>36.55</v>
      </c>
      <c r="M32" s="74" t="n">
        <v>19.35</v>
      </c>
      <c r="N32" s="74" t="n">
        <v>0.6</v>
      </c>
      <c r="O32" s="91" t="n">
        <v>10.8</v>
      </c>
      <c r="P32" s="40" t="n">
        <f aca="false">(D32+F32)*4.2+E32*9</f>
        <v>59.754</v>
      </c>
    </row>
    <row r="33" customFormat="false" ht="12.75" hidden="false" customHeight="false" outlineLevel="0" collapsed="false">
      <c r="A33" s="109" t="s">
        <v>88</v>
      </c>
      <c r="B33" s="68" t="s">
        <v>185</v>
      </c>
      <c r="C33" s="69" t="n">
        <v>200</v>
      </c>
      <c r="D33" s="76" t="n">
        <f aca="false">2.57-0.86</f>
        <v>1.71</v>
      </c>
      <c r="E33" s="76" t="n">
        <f aca="false">9.24-0.84</f>
        <v>8.4</v>
      </c>
      <c r="F33" s="76" t="n">
        <f aca="false">18.04-0.09</f>
        <v>17.95</v>
      </c>
      <c r="G33" s="76" t="n">
        <v>158.72</v>
      </c>
      <c r="H33" s="76" t="s">
        <v>186</v>
      </c>
      <c r="I33" s="76" t="s">
        <v>187</v>
      </c>
      <c r="J33" s="77"/>
      <c r="K33" s="76" t="s">
        <v>188</v>
      </c>
      <c r="L33" s="76" t="s">
        <v>189</v>
      </c>
      <c r="M33" s="76" t="s">
        <v>190</v>
      </c>
      <c r="N33" s="76" t="s">
        <v>191</v>
      </c>
      <c r="O33" s="40" t="n">
        <v>11.2</v>
      </c>
      <c r="P33" s="40" t="n">
        <f aca="false">(D33+F33)*4.2+E33*9</f>
        <v>158.172</v>
      </c>
    </row>
    <row r="34" customFormat="false" ht="12.75" hidden="false" customHeight="false" outlineLevel="0" collapsed="false">
      <c r="A34" s="110" t="s">
        <v>90</v>
      </c>
      <c r="B34" s="68" t="s">
        <v>91</v>
      </c>
      <c r="C34" s="69" t="n">
        <v>100</v>
      </c>
      <c r="D34" s="76" t="n">
        <v>14.25</v>
      </c>
      <c r="E34" s="76" t="n">
        <v>16.66</v>
      </c>
      <c r="F34" s="76" t="n">
        <v>5.27</v>
      </c>
      <c r="G34" s="76" t="n">
        <v>232</v>
      </c>
      <c r="H34" s="69" t="n">
        <v>0.06</v>
      </c>
      <c r="I34" s="69" t="n">
        <v>2.82</v>
      </c>
      <c r="J34" s="93"/>
      <c r="K34" s="69" t="n">
        <v>14.58</v>
      </c>
      <c r="L34" s="69" t="n">
        <v>25.31</v>
      </c>
      <c r="M34" s="69" t="n">
        <v>6.62</v>
      </c>
      <c r="N34" s="69" t="n">
        <v>1.51</v>
      </c>
      <c r="O34" s="40" t="n">
        <v>38</v>
      </c>
      <c r="P34" s="40" t="n">
        <f aca="false">(D34+F34)*4.2+E34*9</f>
        <v>231.924</v>
      </c>
    </row>
    <row r="35" customFormat="false" ht="12.75" hidden="false" customHeight="false" outlineLevel="0" collapsed="false">
      <c r="A35" s="72" t="s">
        <v>51</v>
      </c>
      <c r="B35" s="68" t="s">
        <v>52</v>
      </c>
      <c r="C35" s="111" t="n">
        <v>150</v>
      </c>
      <c r="D35" s="76" t="n">
        <v>5.64</v>
      </c>
      <c r="E35" s="74" t="n">
        <v>2.84</v>
      </c>
      <c r="F35" s="76" t="n">
        <v>36</v>
      </c>
      <c r="G35" s="76" t="n">
        <v>201</v>
      </c>
      <c r="H35" s="60" t="n">
        <v>0.44</v>
      </c>
      <c r="I35" s="55"/>
      <c r="J35" s="55" t="n">
        <v>0.9</v>
      </c>
      <c r="K35" s="79" t="n">
        <v>78</v>
      </c>
      <c r="L35" s="55" t="n">
        <v>215</v>
      </c>
      <c r="M35" s="55" t="n">
        <v>70</v>
      </c>
      <c r="N35" s="60" t="n">
        <v>4.45</v>
      </c>
      <c r="O35" s="40" t="n">
        <v>10</v>
      </c>
      <c r="P35" s="40" t="n">
        <f aca="false">(D35+F35)*4.2+E35*9</f>
        <v>200.448</v>
      </c>
    </row>
    <row r="36" customFormat="false" ht="12.75" hidden="false" customHeight="true" outlineLevel="0" collapsed="false">
      <c r="A36" s="112" t="s">
        <v>42</v>
      </c>
      <c r="B36" s="113" t="s">
        <v>70</v>
      </c>
      <c r="C36" s="69" t="n">
        <v>200</v>
      </c>
      <c r="D36" s="76" t="n">
        <v>1.15</v>
      </c>
      <c r="E36" s="77"/>
      <c r="F36" s="76" t="n">
        <v>12.03</v>
      </c>
      <c r="G36" s="76" t="n">
        <v>55.4</v>
      </c>
      <c r="H36" s="101" t="n">
        <v>0.009</v>
      </c>
      <c r="I36" s="101" t="n">
        <v>1.52</v>
      </c>
      <c r="J36" s="102"/>
      <c r="K36" s="101" t="n">
        <v>3.57</v>
      </c>
      <c r="L36" s="101" t="n">
        <v>0.66</v>
      </c>
      <c r="M36" s="101" t="n">
        <v>0.22</v>
      </c>
      <c r="N36" s="101" t="n">
        <v>0.34</v>
      </c>
      <c r="O36" s="40" t="n">
        <v>5</v>
      </c>
      <c r="P36" s="40" t="n">
        <f aca="false">(D36+F36)*4.2+E36*9</f>
        <v>55.356</v>
      </c>
    </row>
    <row r="37" customFormat="false" ht="12.75" hidden="false" customHeight="false" outlineLevel="0" collapsed="false">
      <c r="A37" s="72"/>
      <c r="B37" s="68" t="s">
        <v>28</v>
      </c>
      <c r="C37" s="59" t="n">
        <v>20</v>
      </c>
      <c r="D37" s="76" t="n">
        <v>1.52</v>
      </c>
      <c r="E37" s="74" t="n">
        <v>0.16</v>
      </c>
      <c r="F37" s="76" t="n">
        <v>9.84</v>
      </c>
      <c r="G37" s="76" t="n">
        <v>49.17</v>
      </c>
      <c r="H37" s="74" t="n">
        <v>0.04</v>
      </c>
      <c r="I37" s="77"/>
      <c r="J37" s="77"/>
      <c r="K37" s="76" t="n">
        <v>7.25</v>
      </c>
      <c r="L37" s="77" t="n">
        <v>32.5</v>
      </c>
      <c r="M37" s="77" t="n">
        <v>10.5</v>
      </c>
      <c r="N37" s="74" t="n">
        <v>0.9</v>
      </c>
      <c r="O37" s="40" t="n">
        <v>3</v>
      </c>
      <c r="P37" s="40" t="n">
        <f aca="false">(D37+F37)*4.2+E37*9</f>
        <v>49.152</v>
      </c>
    </row>
    <row r="38" customFormat="false" ht="12.75" hidden="false" customHeight="false" outlineLevel="0" collapsed="false">
      <c r="A38" s="72"/>
      <c r="B38" s="75"/>
      <c r="C38" s="103" t="n">
        <f aca="false">SUM(C32:C37)</f>
        <v>730</v>
      </c>
      <c r="D38" s="76"/>
      <c r="E38" s="74"/>
      <c r="F38" s="76"/>
      <c r="G38" s="76"/>
      <c r="H38" s="60"/>
      <c r="I38" s="55"/>
      <c r="J38" s="55"/>
      <c r="K38" s="79"/>
      <c r="L38" s="55"/>
      <c r="M38" s="55"/>
      <c r="N38" s="60"/>
      <c r="P38" s="40" t="n">
        <f aca="false">(D38+F38)*4.2+E38*9</f>
        <v>0</v>
      </c>
    </row>
    <row r="39" customFormat="false" ht="12.75" hidden="false" customHeight="false" outlineLevel="0" collapsed="false">
      <c r="A39" s="61" t="s">
        <v>192</v>
      </c>
      <c r="B39" s="62" t="s">
        <v>170</v>
      </c>
      <c r="C39" s="62"/>
      <c r="D39" s="63" t="n">
        <f aca="false">D40+D46</f>
        <v>37.39</v>
      </c>
      <c r="E39" s="63" t="n">
        <f aca="false">E40+E46</f>
        <v>31.92</v>
      </c>
      <c r="F39" s="63" t="n">
        <f aca="false">F40+F46</f>
        <v>194.06</v>
      </c>
      <c r="G39" s="63" t="n">
        <f aca="false">G40+G46</f>
        <v>1260.74</v>
      </c>
      <c r="H39" s="63" t="n">
        <f aca="false">H40+H46</f>
        <v>0.62</v>
      </c>
      <c r="I39" s="63" t="n">
        <f aca="false">I40+I46</f>
        <v>35.22</v>
      </c>
      <c r="J39" s="63" t="n">
        <f aca="false">J40+J46</f>
        <v>596.4</v>
      </c>
      <c r="K39" s="63" t="n">
        <f aca="false">K40+K46</f>
        <v>182.93</v>
      </c>
      <c r="L39" s="63" t="n">
        <f aca="false">L40+L46</f>
        <v>512.99</v>
      </c>
      <c r="M39" s="63" t="n">
        <f aca="false">M40+M46</f>
        <v>219.59</v>
      </c>
      <c r="N39" s="63" t="n">
        <f aca="false">N40+N46</f>
        <v>11.26</v>
      </c>
      <c r="O39" s="64" t="n">
        <f aca="false">O40+O46</f>
        <v>151.9</v>
      </c>
      <c r="P39" s="40" t="n">
        <f aca="false">(D39+F39)*4.2+E39*9</f>
        <v>1259.37</v>
      </c>
    </row>
    <row r="40" customFormat="false" ht="12.75" hidden="false" customHeight="false" outlineLevel="0" collapsed="false">
      <c r="A40" s="61"/>
      <c r="B40" s="66" t="s">
        <v>18</v>
      </c>
      <c r="C40" s="66"/>
      <c r="D40" s="63" t="n">
        <f aca="false">D41+D42+D43+D44</f>
        <v>12.92</v>
      </c>
      <c r="E40" s="63" t="n">
        <f aca="false">E41+E42+E43+E44</f>
        <v>8.42</v>
      </c>
      <c r="F40" s="63" t="n">
        <f aca="false">F41+F42+F43+F44</f>
        <v>96.58</v>
      </c>
      <c r="G40" s="63" t="n">
        <f aca="false">G41+G42+G43+G44</f>
        <v>535.54</v>
      </c>
      <c r="H40" s="63" t="n">
        <f aca="false">H41+H42+H43+H44</f>
        <v>0.1</v>
      </c>
      <c r="I40" s="63" t="n">
        <f aca="false">I41+I42+I43+I44</f>
        <v>16.39</v>
      </c>
      <c r="J40" s="63" t="n">
        <f aca="false">J41+J42+J43+J44</f>
        <v>40</v>
      </c>
      <c r="K40" s="63" t="n">
        <f aca="false">K41+K42+K43+K44</f>
        <v>72.97</v>
      </c>
      <c r="L40" s="63" t="n">
        <f aca="false">L41+L42+L43+L44</f>
        <v>29.5</v>
      </c>
      <c r="M40" s="63" t="n">
        <f aca="false">M41+M42+M43+M44</f>
        <v>5.7</v>
      </c>
      <c r="N40" s="63" t="n">
        <f aca="false">N41+N42+N43+N44</f>
        <v>4.07</v>
      </c>
      <c r="O40" s="64" t="n">
        <f aca="false">O41+O42+O43+O44</f>
        <v>79.3</v>
      </c>
      <c r="P40" s="40" t="n">
        <f aca="false">(D40+F40)*4.2+E40*9</f>
        <v>535.68</v>
      </c>
      <c r="Q40" s="40" t="n">
        <v>470</v>
      </c>
    </row>
    <row r="41" customFormat="false" ht="12.75" hidden="false" customHeight="false" outlineLevel="0" collapsed="false">
      <c r="A41" s="114"/>
      <c r="B41" s="115" t="s">
        <v>45</v>
      </c>
      <c r="C41" s="116" t="n">
        <v>100</v>
      </c>
      <c r="D41" s="117" t="n">
        <v>0.4</v>
      </c>
      <c r="E41" s="117" t="n">
        <v>0</v>
      </c>
      <c r="F41" s="117" t="n">
        <v>9.8</v>
      </c>
      <c r="G41" s="117" t="n">
        <v>42.84</v>
      </c>
      <c r="H41" s="55" t="n">
        <v>0.01</v>
      </c>
      <c r="I41" s="55" t="n">
        <v>0.39</v>
      </c>
      <c r="J41" s="55" t="n">
        <v>40</v>
      </c>
      <c r="K41" s="55" t="n">
        <v>38.9</v>
      </c>
      <c r="L41" s="55" t="n">
        <v>3.5</v>
      </c>
      <c r="M41" s="55" t="n">
        <v>0.1</v>
      </c>
      <c r="N41" s="55" t="n">
        <v>0.07</v>
      </c>
      <c r="O41" s="40" t="n">
        <v>53.5</v>
      </c>
      <c r="P41" s="40" t="n">
        <f aca="false">(D41+F41)*4.2+E41*9</f>
        <v>42.84</v>
      </c>
    </row>
    <row r="42" customFormat="false" ht="24" hidden="false" customHeight="false" outlineLevel="0" collapsed="false">
      <c r="A42" s="93" t="s">
        <v>23</v>
      </c>
      <c r="B42" s="73" t="s">
        <v>137</v>
      </c>
      <c r="C42" s="69" t="n">
        <v>203</v>
      </c>
      <c r="D42" s="76" t="n">
        <v>8.48</v>
      </c>
      <c r="E42" s="76" t="n">
        <v>8</v>
      </c>
      <c r="F42" s="76" t="n">
        <v>36.1</v>
      </c>
      <c r="G42" s="76" t="n">
        <v>259.36</v>
      </c>
      <c r="H42" s="55"/>
      <c r="I42" s="55"/>
      <c r="J42" s="55"/>
      <c r="K42" s="79" t="n">
        <v>0.47</v>
      </c>
      <c r="L42" s="55"/>
      <c r="M42" s="55"/>
      <c r="N42" s="79" t="n">
        <v>0.04</v>
      </c>
      <c r="O42" s="40" t="n">
        <v>3</v>
      </c>
      <c r="P42" s="40" t="n">
        <f aca="false">(D42+F42)*4.2+E42*9</f>
        <v>259.236</v>
      </c>
    </row>
    <row r="43" customFormat="false" ht="21.75" hidden="false" customHeight="true" outlineLevel="0" collapsed="false">
      <c r="A43" s="67" t="s">
        <v>42</v>
      </c>
      <c r="B43" s="118" t="s">
        <v>43</v>
      </c>
      <c r="C43" s="69" t="n">
        <v>200</v>
      </c>
      <c r="D43" s="76" t="n">
        <v>1</v>
      </c>
      <c r="E43" s="76" t="n">
        <v>0.1</v>
      </c>
      <c r="F43" s="76" t="n">
        <v>31</v>
      </c>
      <c r="G43" s="76" t="n">
        <v>135</v>
      </c>
      <c r="H43" s="60" t="n">
        <v>0.04</v>
      </c>
      <c r="I43" s="55"/>
      <c r="J43" s="55"/>
      <c r="K43" s="79" t="n">
        <v>8</v>
      </c>
      <c r="L43" s="55" t="n">
        <v>26</v>
      </c>
      <c r="M43" s="55" t="n">
        <v>5.6</v>
      </c>
      <c r="N43" s="60" t="n">
        <v>0.44</v>
      </c>
      <c r="O43" s="40" t="n">
        <v>2.8</v>
      </c>
      <c r="P43" s="40" t="n">
        <f aca="false">(D43+F43)*4.2+E43*9</f>
        <v>135.3</v>
      </c>
    </row>
    <row r="44" customFormat="false" ht="12.75" hidden="false" customHeight="false" outlineLevel="0" collapsed="false">
      <c r="A44" s="82"/>
      <c r="B44" s="68" t="s">
        <v>28</v>
      </c>
      <c r="C44" s="69" t="n">
        <v>40</v>
      </c>
      <c r="D44" s="76" t="n">
        <v>3.04</v>
      </c>
      <c r="E44" s="77" t="n">
        <v>0.32</v>
      </c>
      <c r="F44" s="76" t="n">
        <v>19.68</v>
      </c>
      <c r="G44" s="76" t="n">
        <v>98.34</v>
      </c>
      <c r="H44" s="79" t="n">
        <v>0.05</v>
      </c>
      <c r="I44" s="60" t="n">
        <v>16</v>
      </c>
      <c r="J44" s="55"/>
      <c r="K44" s="60" t="n">
        <v>25.6</v>
      </c>
      <c r="L44" s="55"/>
      <c r="M44" s="55"/>
      <c r="N44" s="60" t="n">
        <v>3.52</v>
      </c>
      <c r="O44" s="40" t="n">
        <v>20</v>
      </c>
      <c r="P44" s="40" t="n">
        <f aca="false">(D44+F44)*4.2+E44*9</f>
        <v>98.304</v>
      </c>
    </row>
    <row r="45" customFormat="false" ht="12.75" hidden="false" customHeight="false" outlineLevel="0" collapsed="false">
      <c r="A45" s="67"/>
      <c r="B45" s="75"/>
      <c r="C45" s="119" t="n">
        <f aca="false">SUM(C41:C44)</f>
        <v>543</v>
      </c>
      <c r="D45" s="76"/>
      <c r="E45" s="74"/>
      <c r="F45" s="76"/>
      <c r="G45" s="76"/>
      <c r="H45" s="60"/>
      <c r="I45" s="55"/>
      <c r="J45" s="55"/>
      <c r="K45" s="79"/>
      <c r="L45" s="55"/>
      <c r="M45" s="55"/>
      <c r="N45" s="60"/>
      <c r="P45" s="40" t="n">
        <f aca="false">(D45+F45)*4.2+E45*9</f>
        <v>0</v>
      </c>
    </row>
    <row r="46" customFormat="false" ht="12.75" hidden="false" customHeight="false" outlineLevel="0" collapsed="false">
      <c r="A46" s="67"/>
      <c r="B46" s="66" t="s">
        <v>81</v>
      </c>
      <c r="C46" s="66"/>
      <c r="D46" s="105" t="n">
        <f aca="false">D47+D48+D49+D50+D51+D52</f>
        <v>24.47</v>
      </c>
      <c r="E46" s="105" t="n">
        <f aca="false">E47+E48+E49+E50+E51+E52</f>
        <v>23.5</v>
      </c>
      <c r="F46" s="105" t="n">
        <f aca="false">F47+F48+F49+F50+F51+F52</f>
        <v>97.48</v>
      </c>
      <c r="G46" s="105" t="n">
        <f aca="false">G47+G48+G49+G50+G51+G52</f>
        <v>725.2</v>
      </c>
      <c r="H46" s="105" t="n">
        <f aca="false">H47+H48+H49+H50+H51+H52</f>
        <v>0.52</v>
      </c>
      <c r="I46" s="105" t="n">
        <f aca="false">I47+I48+I49+I50+I51+I52</f>
        <v>18.83</v>
      </c>
      <c r="J46" s="105" t="n">
        <f aca="false">J47+J48+J49+J50+J51+J52</f>
        <v>556.4</v>
      </c>
      <c r="K46" s="105" t="n">
        <f aca="false">K47+K48+K49+K50+K51+K52</f>
        <v>109.96</v>
      </c>
      <c r="L46" s="105" t="n">
        <f aca="false">L47+L48+L49+L50+L51+L52</f>
        <v>483.49</v>
      </c>
      <c r="M46" s="105" t="n">
        <f aca="false">M47+M48+M49+M50+M51+M52</f>
        <v>213.89</v>
      </c>
      <c r="N46" s="105" t="n">
        <f aca="false">N47+N48+N49+N50+N51+N52</f>
        <v>7.19</v>
      </c>
      <c r="O46" s="106" t="n">
        <f aca="false">O47+O48+O49+O50+O51+O52</f>
        <v>72.6</v>
      </c>
      <c r="P46" s="40" t="n">
        <f aca="false">(D46+F46)*4.2+E46*9</f>
        <v>723.69</v>
      </c>
      <c r="Q46" s="40" t="n">
        <v>705</v>
      </c>
    </row>
    <row r="47" customFormat="false" ht="12.75" hidden="false" customHeight="false" outlineLevel="0" collapsed="false">
      <c r="A47" s="89" t="s">
        <v>92</v>
      </c>
      <c r="B47" s="68" t="s">
        <v>93</v>
      </c>
      <c r="C47" s="90" t="n">
        <v>60</v>
      </c>
      <c r="D47" s="76" t="n">
        <v>1.21</v>
      </c>
      <c r="E47" s="76" t="n">
        <v>6.2</v>
      </c>
      <c r="F47" s="76" t="n">
        <v>12.33</v>
      </c>
      <c r="G47" s="76" t="n">
        <v>113</v>
      </c>
      <c r="H47" s="74" t="n">
        <v>0.02</v>
      </c>
      <c r="I47" s="74" t="n">
        <v>2.3</v>
      </c>
      <c r="J47" s="74" t="n">
        <v>443</v>
      </c>
      <c r="K47" s="74" t="n">
        <v>14</v>
      </c>
      <c r="L47" s="74" t="n">
        <v>28</v>
      </c>
      <c r="M47" s="74" t="n">
        <v>17</v>
      </c>
      <c r="N47" s="74" t="n">
        <v>0.45</v>
      </c>
      <c r="O47" s="40" t="n">
        <v>9.2</v>
      </c>
      <c r="P47" s="40" t="n">
        <f aca="false">(D47+F47)*4.2+E47*9</f>
        <v>112.668</v>
      </c>
    </row>
    <row r="48" customFormat="false" ht="12.75" hidden="false" customHeight="false" outlineLevel="0" collapsed="false">
      <c r="A48" s="120" t="s">
        <v>94</v>
      </c>
      <c r="B48" s="73" t="s">
        <v>193</v>
      </c>
      <c r="C48" s="59" t="n">
        <v>200</v>
      </c>
      <c r="D48" s="74" t="n">
        <f aca="false">2.64-0.99</f>
        <v>1.65</v>
      </c>
      <c r="E48" s="74" t="n">
        <f aca="false">3.56-1.59</f>
        <v>1.97</v>
      </c>
      <c r="F48" s="74" t="n">
        <f aca="false">11.76-0.27</f>
        <v>11.49</v>
      </c>
      <c r="G48" s="74" t="n">
        <f aca="false">93-19.32</f>
        <v>73.68</v>
      </c>
      <c r="H48" s="74" t="s">
        <v>194</v>
      </c>
      <c r="I48" s="74" t="s">
        <v>195</v>
      </c>
      <c r="J48" s="77"/>
      <c r="K48" s="74" t="s">
        <v>196</v>
      </c>
      <c r="L48" s="74" t="s">
        <v>197</v>
      </c>
      <c r="M48" s="74" t="s">
        <v>198</v>
      </c>
      <c r="N48" s="74" t="s">
        <v>199</v>
      </c>
      <c r="O48" s="40" t="n">
        <v>5.6</v>
      </c>
      <c r="P48" s="40" t="n">
        <f aca="false">(D48+F48)*4.2+E48*9</f>
        <v>72.918</v>
      </c>
    </row>
    <row r="49" customFormat="false" ht="12.75" hidden="false" customHeight="false" outlineLevel="0" collapsed="false">
      <c r="A49" s="121" t="s">
        <v>96</v>
      </c>
      <c r="B49" s="68" t="s">
        <v>97</v>
      </c>
      <c r="C49" s="69" t="n">
        <v>90</v>
      </c>
      <c r="D49" s="76" t="n">
        <v>11.84</v>
      </c>
      <c r="E49" s="76" t="n">
        <v>10.06</v>
      </c>
      <c r="F49" s="76" t="n">
        <v>16.03</v>
      </c>
      <c r="G49" s="76" t="n">
        <v>208</v>
      </c>
      <c r="H49" s="55" t="n">
        <v>0.1</v>
      </c>
      <c r="I49" s="55" t="n">
        <v>6.03</v>
      </c>
      <c r="J49" s="55" t="n">
        <v>92.4</v>
      </c>
      <c r="K49" s="55" t="n">
        <v>52.89</v>
      </c>
      <c r="L49" s="55" t="n">
        <v>193.68</v>
      </c>
      <c r="M49" s="55" t="n">
        <v>44.45</v>
      </c>
      <c r="N49" s="55" t="n">
        <v>1.01</v>
      </c>
      <c r="O49" s="40" t="n">
        <v>35</v>
      </c>
      <c r="P49" s="40" t="n">
        <f aca="false">(D49+F49)*4.2+E49*9</f>
        <v>207.594</v>
      </c>
    </row>
    <row r="50" customFormat="false" ht="12.75" hidden="false" customHeight="false" outlineLevel="0" collapsed="false">
      <c r="A50" s="94" t="s">
        <v>98</v>
      </c>
      <c r="B50" s="73" t="s">
        <v>99</v>
      </c>
      <c r="C50" s="69" t="n">
        <v>150</v>
      </c>
      <c r="D50" s="76" t="n">
        <v>8.77</v>
      </c>
      <c r="E50" s="76" t="n">
        <v>5.19</v>
      </c>
      <c r="F50" s="76" t="n">
        <v>39.63</v>
      </c>
      <c r="G50" s="76" t="n">
        <v>250</v>
      </c>
      <c r="H50" s="69" t="n">
        <v>0.3</v>
      </c>
      <c r="I50" s="93"/>
      <c r="J50" s="69" t="n">
        <v>21</v>
      </c>
      <c r="K50" s="69" t="n">
        <v>15.38</v>
      </c>
      <c r="L50" s="69" t="n">
        <v>208.35</v>
      </c>
      <c r="M50" s="69" t="n">
        <v>138.65</v>
      </c>
      <c r="N50" s="69" t="n">
        <v>4.66</v>
      </c>
      <c r="O50" s="40" t="n">
        <v>13</v>
      </c>
      <c r="P50" s="40" t="n">
        <f aca="false">(D50+F50)*4.2+E50*9</f>
        <v>249.99</v>
      </c>
    </row>
    <row r="51" customFormat="false" ht="12.75" hidden="false" customHeight="false" outlineLevel="0" collapsed="false">
      <c r="A51" s="72" t="s">
        <v>35</v>
      </c>
      <c r="B51" s="68" t="s">
        <v>36</v>
      </c>
      <c r="C51" s="59" t="n">
        <v>200</v>
      </c>
      <c r="D51" s="76" t="n">
        <v>0</v>
      </c>
      <c r="E51" s="77" t="n">
        <v>0</v>
      </c>
      <c r="F51" s="76" t="n">
        <v>10</v>
      </c>
      <c r="G51" s="74" t="n">
        <v>42</v>
      </c>
      <c r="H51" s="74" t="s">
        <v>200</v>
      </c>
      <c r="I51" s="76" t="s">
        <v>201</v>
      </c>
      <c r="J51" s="77"/>
      <c r="K51" s="76" t="s">
        <v>202</v>
      </c>
      <c r="L51" s="77"/>
      <c r="M51" s="77"/>
      <c r="N51" s="74" t="s">
        <v>203</v>
      </c>
      <c r="O51" s="40" t="n">
        <v>7</v>
      </c>
      <c r="P51" s="40" t="n">
        <f aca="false">(D51+F51)*4.2+E51*9</f>
        <v>42</v>
      </c>
    </row>
    <row r="52" customFormat="false" ht="12.75" hidden="false" customHeight="false" outlineLevel="0" collapsed="false">
      <c r="A52" s="67"/>
      <c r="B52" s="68" t="s">
        <v>100</v>
      </c>
      <c r="C52" s="59" t="n">
        <v>20</v>
      </c>
      <c r="D52" s="76" t="n">
        <v>1</v>
      </c>
      <c r="E52" s="74" t="n">
        <v>0.08</v>
      </c>
      <c r="F52" s="76" t="n">
        <v>8</v>
      </c>
      <c r="G52" s="76" t="n">
        <v>38.52</v>
      </c>
      <c r="H52" s="59" t="n">
        <v>0.04</v>
      </c>
      <c r="I52" s="93"/>
      <c r="J52" s="93"/>
      <c r="K52" s="69" t="n">
        <v>8</v>
      </c>
      <c r="L52" s="93" t="n">
        <v>26</v>
      </c>
      <c r="M52" s="93" t="n">
        <v>5.6</v>
      </c>
      <c r="N52" s="59" t="n">
        <v>0.44</v>
      </c>
      <c r="O52" s="40" t="n">
        <v>2.8</v>
      </c>
      <c r="P52" s="40" t="n">
        <f aca="false">(D52+F52)*4.2+E52*9</f>
        <v>38.52</v>
      </c>
    </row>
    <row r="53" customFormat="false" ht="12.75" hidden="false" customHeight="false" outlineLevel="0" collapsed="false">
      <c r="A53" s="67"/>
      <c r="B53" s="122"/>
      <c r="C53" s="123" t="n">
        <f aca="false">SUM(C47:C52)</f>
        <v>720</v>
      </c>
      <c r="D53" s="76"/>
      <c r="E53" s="74"/>
      <c r="F53" s="76"/>
      <c r="G53" s="76"/>
      <c r="H53" s="59"/>
      <c r="I53" s="93"/>
      <c r="J53" s="93"/>
      <c r="K53" s="69"/>
      <c r="L53" s="93"/>
      <c r="M53" s="93"/>
      <c r="N53" s="59"/>
      <c r="P53" s="40" t="n">
        <f aca="false">(D53+F53)*4.2+E53*9</f>
        <v>0</v>
      </c>
    </row>
    <row r="54" customFormat="false" ht="12.75" hidden="false" customHeight="false" outlineLevel="0" collapsed="false">
      <c r="A54" s="67"/>
      <c r="B54" s="75"/>
      <c r="C54" s="119"/>
      <c r="D54" s="76"/>
      <c r="E54" s="74"/>
      <c r="F54" s="76"/>
      <c r="G54" s="76"/>
      <c r="H54" s="60"/>
      <c r="I54" s="55"/>
      <c r="J54" s="55"/>
      <c r="K54" s="79"/>
      <c r="L54" s="55"/>
      <c r="M54" s="55"/>
      <c r="N54" s="60"/>
      <c r="P54" s="40" t="n">
        <f aca="false">(D54+F54)*4.2+E54*9</f>
        <v>0</v>
      </c>
    </row>
    <row r="55" customFormat="false" ht="12.75" hidden="false" customHeight="false" outlineLevel="0" collapsed="false">
      <c r="A55" s="65" t="s">
        <v>204</v>
      </c>
      <c r="B55" s="66" t="s">
        <v>170</v>
      </c>
      <c r="C55" s="66"/>
      <c r="D55" s="105" t="n">
        <f aca="false">D56+D62</f>
        <v>42.49</v>
      </c>
      <c r="E55" s="105" t="n">
        <f aca="false">E56+E62</f>
        <v>37.02</v>
      </c>
      <c r="F55" s="105" t="n">
        <f aca="false">F56+F62</f>
        <v>181.36</v>
      </c>
      <c r="G55" s="105" t="n">
        <f aca="false">G56+G62</f>
        <v>1273.79</v>
      </c>
      <c r="H55" s="105" t="e">
        <f aca="false">H56+H62</f>
        <v>#REF!</v>
      </c>
      <c r="I55" s="105" t="e">
        <f aca="false">I56+I62</f>
        <v>#REF!</v>
      </c>
      <c r="J55" s="105" t="e">
        <f aca="false">J56+J62</f>
        <v>#REF!</v>
      </c>
      <c r="K55" s="105" t="e">
        <f aca="false">K56+K62</f>
        <v>#REF!</v>
      </c>
      <c r="L55" s="105" t="e">
        <f aca="false">L56+L62</f>
        <v>#REF!</v>
      </c>
      <c r="M55" s="105" t="e">
        <f aca="false">M56+M62</f>
        <v>#REF!</v>
      </c>
      <c r="N55" s="105" t="e">
        <f aca="false">N56+N62</f>
        <v>#REF!</v>
      </c>
      <c r="O55" s="106" t="e">
        <f aca="false">O56+O62</f>
        <v>#REF!</v>
      </c>
      <c r="P55" s="40" t="n">
        <f aca="false">(D55+F55)*4.2+E55*9</f>
        <v>1273.35</v>
      </c>
    </row>
    <row r="56" customFormat="false" ht="12.75" hidden="false" customHeight="false" outlineLevel="0" collapsed="false">
      <c r="A56" s="65"/>
      <c r="B56" s="66" t="s">
        <v>18</v>
      </c>
      <c r="C56" s="66"/>
      <c r="D56" s="105" t="n">
        <f aca="false">D57+D58+D59+D60</f>
        <v>15.21</v>
      </c>
      <c r="E56" s="105" t="n">
        <f aca="false">E57+E58+E59+E60</f>
        <v>8.36</v>
      </c>
      <c r="F56" s="105" t="n">
        <f aca="false">F57+F58+F59+F60</f>
        <v>102.05</v>
      </c>
      <c r="G56" s="105" t="n">
        <f aca="false">G57+G58+G59+G60</f>
        <v>567.83</v>
      </c>
      <c r="H56" s="105" t="n">
        <f aca="false">H57+H58+H59+H60</f>
        <v>0.289</v>
      </c>
      <c r="I56" s="105" t="n">
        <f aca="false">I57+I58+I59+I60</f>
        <v>2.12</v>
      </c>
      <c r="J56" s="105" t="n">
        <f aca="false">J57+J58+J59+J60</f>
        <v>25.2</v>
      </c>
      <c r="K56" s="105" t="n">
        <f aca="false">K57+K58+K59+K60</f>
        <v>52.03</v>
      </c>
      <c r="L56" s="105" t="n">
        <f aca="false">L57+L58+L59+L60</f>
        <v>146.85</v>
      </c>
      <c r="M56" s="105" t="n">
        <f aca="false">M57+M58+M59+M60</f>
        <v>38.21</v>
      </c>
      <c r="N56" s="105" t="n">
        <f aca="false">N57+N58+N59+N60</f>
        <v>4.79</v>
      </c>
      <c r="O56" s="106" t="n">
        <f aca="false">O57+O58+O59+O60</f>
        <v>76.6</v>
      </c>
      <c r="P56" s="40" t="n">
        <f aca="false">(D56+F56)*4.2+E56*9</f>
        <v>567.732</v>
      </c>
    </row>
    <row r="57" customFormat="false" ht="12.75" hidden="false" customHeight="false" outlineLevel="0" collapsed="false">
      <c r="A57" s="93" t="s">
        <v>138</v>
      </c>
      <c r="B57" s="68" t="s">
        <v>139</v>
      </c>
      <c r="C57" s="69" t="n">
        <v>60</v>
      </c>
      <c r="D57" s="76" t="n">
        <v>4.91</v>
      </c>
      <c r="E57" s="76" t="n">
        <v>3.79</v>
      </c>
      <c r="F57" s="76" t="n">
        <v>36.09</v>
      </c>
      <c r="G57" s="76" t="n">
        <v>206.31</v>
      </c>
      <c r="H57" s="79" t="n">
        <v>0.08</v>
      </c>
      <c r="I57" s="79" t="n">
        <v>0.6</v>
      </c>
      <c r="J57" s="55"/>
      <c r="K57" s="79" t="n">
        <v>17.6</v>
      </c>
      <c r="L57" s="79" t="n">
        <v>13.35</v>
      </c>
      <c r="M57" s="79" t="n">
        <v>2.94</v>
      </c>
      <c r="N57" s="79" t="n">
        <v>2.26</v>
      </c>
      <c r="O57" s="40" t="n">
        <v>59</v>
      </c>
      <c r="P57" s="40" t="n">
        <f aca="false">(D57+F57)*4.2+E57*9</f>
        <v>206.31</v>
      </c>
    </row>
    <row r="58" customFormat="false" ht="24" hidden="false" customHeight="false" outlineLevel="0" collapsed="false">
      <c r="A58" s="93" t="s">
        <v>23</v>
      </c>
      <c r="B58" s="73" t="s">
        <v>140</v>
      </c>
      <c r="C58" s="69" t="n">
        <v>203</v>
      </c>
      <c r="D58" s="76" t="n">
        <f aca="false">7.26</f>
        <v>7.26</v>
      </c>
      <c r="E58" s="76" t="n">
        <f aca="false">4.25</f>
        <v>4.25</v>
      </c>
      <c r="F58" s="76" t="n">
        <f aca="false">36.28</f>
        <v>36.28</v>
      </c>
      <c r="G58" s="76" t="n">
        <v>221.18</v>
      </c>
      <c r="H58" s="79" t="n">
        <v>0.1</v>
      </c>
      <c r="I58" s="55"/>
      <c r="J58" s="79" t="n">
        <v>25.2</v>
      </c>
      <c r="K58" s="79" t="n">
        <v>13.46</v>
      </c>
      <c r="L58" s="79" t="n">
        <v>54.84</v>
      </c>
      <c r="M58" s="79" t="n">
        <v>9.85</v>
      </c>
      <c r="N58" s="79" t="n">
        <v>0.03</v>
      </c>
      <c r="O58" s="40" t="n">
        <v>9.6</v>
      </c>
      <c r="P58" s="40" t="n">
        <f aca="false">(D58+F58)*4.2+E58*9</f>
        <v>221.118</v>
      </c>
    </row>
    <row r="59" customFormat="false" ht="12.75" hidden="false" customHeight="false" outlineLevel="0" collapsed="false">
      <c r="A59" s="112" t="s">
        <v>35</v>
      </c>
      <c r="B59" s="113" t="s">
        <v>36</v>
      </c>
      <c r="C59" s="69" t="n">
        <v>200</v>
      </c>
      <c r="D59" s="76" t="n">
        <v>0</v>
      </c>
      <c r="E59" s="77" t="n">
        <v>0</v>
      </c>
      <c r="F59" s="76" t="n">
        <v>10</v>
      </c>
      <c r="G59" s="76" t="n">
        <v>42</v>
      </c>
      <c r="H59" s="101" t="n">
        <v>0.009</v>
      </c>
      <c r="I59" s="101" t="n">
        <v>1.52</v>
      </c>
      <c r="J59" s="102"/>
      <c r="K59" s="101" t="n">
        <v>3.57</v>
      </c>
      <c r="L59" s="101" t="n">
        <v>0.66</v>
      </c>
      <c r="M59" s="101" t="n">
        <v>0.22</v>
      </c>
      <c r="N59" s="101" t="n">
        <v>0.34</v>
      </c>
      <c r="O59" s="40" t="n">
        <v>5</v>
      </c>
      <c r="P59" s="40" t="n">
        <f aca="false">(D59+F59)*4.2+E59*9</f>
        <v>42</v>
      </c>
    </row>
    <row r="60" customFormat="false" ht="15" hidden="false" customHeight="true" outlineLevel="0" collapsed="false">
      <c r="A60" s="72"/>
      <c r="B60" s="68" t="s">
        <v>28</v>
      </c>
      <c r="C60" s="59" t="n">
        <v>40</v>
      </c>
      <c r="D60" s="76" t="n">
        <v>3.04</v>
      </c>
      <c r="E60" s="74" t="n">
        <v>0.32</v>
      </c>
      <c r="F60" s="76" t="n">
        <v>19.68</v>
      </c>
      <c r="G60" s="76" t="n">
        <v>98.34</v>
      </c>
      <c r="H60" s="60" t="n">
        <v>0.1</v>
      </c>
      <c r="I60" s="55"/>
      <c r="J60" s="55"/>
      <c r="K60" s="79" t="n">
        <v>17.4</v>
      </c>
      <c r="L60" s="55" t="n">
        <v>78</v>
      </c>
      <c r="M60" s="55" t="n">
        <v>25.2</v>
      </c>
      <c r="N60" s="60" t="n">
        <v>2.16</v>
      </c>
      <c r="O60" s="40" t="n">
        <v>3</v>
      </c>
      <c r="P60" s="40" t="n">
        <f aca="false">(D60+F60)*4.2+E60*9</f>
        <v>98.304</v>
      </c>
    </row>
    <row r="61" customFormat="false" ht="15" hidden="false" customHeight="true" outlineLevel="0" collapsed="false">
      <c r="A61" s="72"/>
      <c r="B61" s="75"/>
      <c r="C61" s="119" t="n">
        <f aca="false">SUM(C57:C60)</f>
        <v>503</v>
      </c>
      <c r="D61" s="76"/>
      <c r="E61" s="74"/>
      <c r="F61" s="76"/>
      <c r="G61" s="76"/>
      <c r="H61" s="60"/>
      <c r="I61" s="55"/>
      <c r="J61" s="55"/>
      <c r="K61" s="79"/>
      <c r="L61" s="55"/>
      <c r="M61" s="55"/>
      <c r="N61" s="60"/>
      <c r="P61" s="40" t="n">
        <f aca="false">(D61+F61)*4.2+E61*9</f>
        <v>0</v>
      </c>
    </row>
    <row r="62" customFormat="false" ht="15" hidden="false" customHeight="true" outlineLevel="0" collapsed="false">
      <c r="A62" s="72"/>
      <c r="B62" s="66" t="s">
        <v>81</v>
      </c>
      <c r="C62" s="66"/>
      <c r="D62" s="105" t="n">
        <f aca="false">D63+D64+D65+D66+D67</f>
        <v>27.28</v>
      </c>
      <c r="E62" s="105" t="n">
        <f aca="false">E63+E64+E65+E66+E67</f>
        <v>28.66</v>
      </c>
      <c r="F62" s="105" t="n">
        <f aca="false">F63+F64+F65+F66+F67</f>
        <v>79.31</v>
      </c>
      <c r="G62" s="105" t="n">
        <f aca="false">G63+G64+G65+G66+G67</f>
        <v>705.96</v>
      </c>
      <c r="H62" s="105" t="e">
        <f aca="false">H63+H64+H65+#REF!+H66+H67</f>
        <v>#REF!</v>
      </c>
      <c r="I62" s="105" t="e">
        <f aca="false">I63+I64+I65+#REF!+I66+I67</f>
        <v>#REF!</v>
      </c>
      <c r="J62" s="105" t="e">
        <f aca="false">J63+J64+J65+#REF!+J66+J67</f>
        <v>#REF!</v>
      </c>
      <c r="K62" s="105" t="e">
        <f aca="false">K63+K64+K65+#REF!+K66+K67</f>
        <v>#REF!</v>
      </c>
      <c r="L62" s="105" t="e">
        <f aca="false">L63+L64+L65+#REF!+L66+L67</f>
        <v>#REF!</v>
      </c>
      <c r="M62" s="105" t="e">
        <f aca="false">M63+M64+M65+#REF!+M66+M67</f>
        <v>#REF!</v>
      </c>
      <c r="N62" s="105" t="e">
        <f aca="false">N63+N64+N65+#REF!+N66+N67</f>
        <v>#REF!</v>
      </c>
      <c r="O62" s="106" t="e">
        <f aca="false">O63+O64+O65+#REF!+O66+O67</f>
        <v>#REF!</v>
      </c>
      <c r="P62" s="40" t="n">
        <f aca="false">(D62+F62)*4.2+E62*9</f>
        <v>705.618</v>
      </c>
    </row>
    <row r="63" customFormat="false" ht="15" hidden="false" customHeight="true" outlineLevel="0" collapsed="false">
      <c r="A63" s="124" t="s">
        <v>107</v>
      </c>
      <c r="B63" s="107" t="s">
        <v>108</v>
      </c>
      <c r="C63" s="93" t="n">
        <v>60</v>
      </c>
      <c r="D63" s="125" t="n">
        <v>0.74</v>
      </c>
      <c r="E63" s="125" t="n">
        <v>0.06</v>
      </c>
      <c r="F63" s="125" t="n">
        <v>6.92</v>
      </c>
      <c r="G63" s="125" t="n">
        <v>33</v>
      </c>
      <c r="H63" s="74" t="n">
        <v>0.03</v>
      </c>
      <c r="I63" s="74" t="n">
        <v>5.8</v>
      </c>
      <c r="J63" s="74"/>
      <c r="K63" s="74" t="n">
        <v>18.74</v>
      </c>
      <c r="L63" s="74" t="n">
        <v>25.96</v>
      </c>
      <c r="M63" s="74" t="n">
        <v>11.72</v>
      </c>
      <c r="N63" s="74" t="n">
        <v>0.5</v>
      </c>
      <c r="O63" s="91" t="n">
        <v>11.4</v>
      </c>
      <c r="P63" s="40" t="n">
        <f aca="false">(D63+F63)*4.2+E63*9</f>
        <v>32.712</v>
      </c>
    </row>
    <row r="64" customFormat="false" ht="16.5" hidden="false" customHeight="true" outlineLevel="0" collapsed="false">
      <c r="A64" s="120" t="s">
        <v>103</v>
      </c>
      <c r="B64" s="73" t="s">
        <v>205</v>
      </c>
      <c r="C64" s="59" t="n">
        <v>200</v>
      </c>
      <c r="D64" s="74" t="n">
        <f aca="false">6.51-0.99</f>
        <v>5.52</v>
      </c>
      <c r="E64" s="74" t="n">
        <f aca="false">12.28-0.1</f>
        <v>12.18</v>
      </c>
      <c r="F64" s="74" t="n">
        <f aca="false">11.17-0.27</f>
        <v>10.9</v>
      </c>
      <c r="G64" s="74" t="n">
        <v>178.58</v>
      </c>
      <c r="H64" s="74" t="s">
        <v>206</v>
      </c>
      <c r="I64" s="74" t="s">
        <v>207</v>
      </c>
      <c r="J64" s="77"/>
      <c r="K64" s="74" t="s">
        <v>208</v>
      </c>
      <c r="L64" s="74" t="s">
        <v>209</v>
      </c>
      <c r="M64" s="74" t="s">
        <v>210</v>
      </c>
      <c r="N64" s="74" t="s">
        <v>211</v>
      </c>
      <c r="O64" s="40" t="n">
        <v>9.6</v>
      </c>
      <c r="P64" s="40" t="n">
        <f aca="false">(D64+F64)*4.2+E64*9</f>
        <v>178.584</v>
      </c>
    </row>
    <row r="65" customFormat="false" ht="15" hidden="false" customHeight="true" outlineLevel="0" collapsed="false">
      <c r="A65" s="72" t="n">
        <v>209</v>
      </c>
      <c r="B65" s="73" t="s">
        <v>106</v>
      </c>
      <c r="C65" s="59" t="n">
        <v>260</v>
      </c>
      <c r="D65" s="74" t="n">
        <v>18.35</v>
      </c>
      <c r="E65" s="74" t="n">
        <v>16.26</v>
      </c>
      <c r="F65" s="74" t="n">
        <v>39.62</v>
      </c>
      <c r="G65" s="74" t="n">
        <v>389.81</v>
      </c>
      <c r="H65" s="74" t="s">
        <v>194</v>
      </c>
      <c r="I65" s="74" t="s">
        <v>212</v>
      </c>
      <c r="J65" s="77"/>
      <c r="K65" s="74" t="s">
        <v>213</v>
      </c>
      <c r="L65" s="74" t="s">
        <v>214</v>
      </c>
      <c r="M65" s="74" t="s">
        <v>215</v>
      </c>
      <c r="N65" s="74" t="s">
        <v>216</v>
      </c>
      <c r="O65" s="40" t="n">
        <v>35.7</v>
      </c>
      <c r="P65" s="40" t="n">
        <f aca="false">(D65+F65)*4.2+E65*9</f>
        <v>389.814</v>
      </c>
    </row>
    <row r="66" customFormat="false" ht="16.5" hidden="false" customHeight="true" outlineLevel="0" collapsed="false">
      <c r="A66" s="126" t="s">
        <v>42</v>
      </c>
      <c r="B66" s="68" t="s">
        <v>70</v>
      </c>
      <c r="C66" s="69" t="n">
        <v>200</v>
      </c>
      <c r="D66" s="76" t="n">
        <v>1.15</v>
      </c>
      <c r="E66" s="77"/>
      <c r="F66" s="76" t="n">
        <v>12.03</v>
      </c>
      <c r="G66" s="76" t="n">
        <v>55.4</v>
      </c>
      <c r="H66" s="127" t="n">
        <v>0.01</v>
      </c>
      <c r="I66" s="127" t="n">
        <v>0.65</v>
      </c>
      <c r="J66" s="128"/>
      <c r="K66" s="127" t="n">
        <v>19.23</v>
      </c>
      <c r="L66" s="128"/>
      <c r="M66" s="128"/>
      <c r="N66" s="127" t="n">
        <v>0.72</v>
      </c>
      <c r="O66" s="40" t="n">
        <v>7</v>
      </c>
      <c r="P66" s="40" t="n">
        <f aca="false">(D66+F66)*4.2+E66*9</f>
        <v>55.356</v>
      </c>
    </row>
    <row r="67" customFormat="false" ht="15" hidden="false" customHeight="true" outlineLevel="0" collapsed="false">
      <c r="A67" s="72"/>
      <c r="B67" s="68" t="s">
        <v>28</v>
      </c>
      <c r="C67" s="59" t="n">
        <v>20</v>
      </c>
      <c r="D67" s="76" t="n">
        <v>1.52</v>
      </c>
      <c r="E67" s="74" t="n">
        <v>0.16</v>
      </c>
      <c r="F67" s="76" t="n">
        <v>9.84</v>
      </c>
      <c r="G67" s="76" t="n">
        <v>49.17</v>
      </c>
      <c r="H67" s="74" t="n">
        <v>0.04</v>
      </c>
      <c r="I67" s="77"/>
      <c r="J67" s="77"/>
      <c r="K67" s="76" t="n">
        <v>7.25</v>
      </c>
      <c r="L67" s="77" t="n">
        <v>32.5</v>
      </c>
      <c r="M67" s="77" t="n">
        <v>10.5</v>
      </c>
      <c r="N67" s="74" t="n">
        <v>0.9</v>
      </c>
      <c r="O67" s="40" t="n">
        <v>3</v>
      </c>
      <c r="P67" s="40" t="n">
        <f aca="false">(D67+F67)*4.2+E67*9</f>
        <v>49.152</v>
      </c>
    </row>
    <row r="68" customFormat="false" ht="15" hidden="false" customHeight="true" outlineLevel="0" collapsed="false">
      <c r="A68" s="72"/>
      <c r="B68" s="122"/>
      <c r="C68" s="119" t="n">
        <f aca="false">SUM(C63:C67)</f>
        <v>740</v>
      </c>
      <c r="D68" s="76"/>
      <c r="E68" s="74"/>
      <c r="F68" s="76"/>
      <c r="G68" s="76"/>
      <c r="H68" s="74"/>
      <c r="I68" s="77"/>
      <c r="J68" s="77"/>
      <c r="K68" s="76"/>
      <c r="L68" s="77"/>
      <c r="M68" s="77"/>
      <c r="N68" s="74"/>
      <c r="P68" s="40" t="n">
        <f aca="false">(D68+F68)*4.2+E68*9</f>
        <v>0</v>
      </c>
    </row>
    <row r="69" customFormat="false" ht="12.75" hidden="false" customHeight="false" outlineLevel="0" collapsed="false">
      <c r="A69" s="65" t="s">
        <v>217</v>
      </c>
      <c r="B69" s="66" t="s">
        <v>170</v>
      </c>
      <c r="C69" s="66"/>
      <c r="D69" s="105" t="n">
        <f aca="false">D70+D76</f>
        <v>42.75</v>
      </c>
      <c r="E69" s="105" t="n">
        <f aca="false">E70+E76</f>
        <v>37.6</v>
      </c>
      <c r="F69" s="105" t="n">
        <f aca="false">F70+F76</f>
        <v>190.61</v>
      </c>
      <c r="G69" s="105" t="n">
        <f aca="false">G70+G76</f>
        <v>1319.01</v>
      </c>
      <c r="H69" s="105" t="n">
        <f aca="false">H70+H76</f>
        <v>0.66</v>
      </c>
      <c r="I69" s="105" t="n">
        <f aca="false">I70+I76</f>
        <v>70.66</v>
      </c>
      <c r="J69" s="105" t="n">
        <f aca="false">J70+J76</f>
        <v>16</v>
      </c>
      <c r="K69" s="105" t="n">
        <f aca="false">K70+K76</f>
        <v>423.51</v>
      </c>
      <c r="L69" s="105" t="n">
        <f aca="false">L70+L76</f>
        <v>173.92</v>
      </c>
      <c r="M69" s="105" t="n">
        <f aca="false">M70+M76</f>
        <v>63.46</v>
      </c>
      <c r="N69" s="105" t="n">
        <f aca="false">N70+N76</f>
        <v>10.28</v>
      </c>
      <c r="O69" s="106" t="n">
        <f aca="false">O70+O76</f>
        <v>184.4</v>
      </c>
      <c r="P69" s="40" t="n">
        <f aca="false">(D69+F69)*4.2+E69*9</f>
        <v>1318.512</v>
      </c>
    </row>
    <row r="70" customFormat="false" ht="12.75" hidden="false" customHeight="false" outlineLevel="0" collapsed="false">
      <c r="A70" s="65"/>
      <c r="B70" s="66" t="s">
        <v>18</v>
      </c>
      <c r="C70" s="66"/>
      <c r="D70" s="105" t="n">
        <f aca="false">D71+D72+D73+D74</f>
        <v>14.88</v>
      </c>
      <c r="E70" s="105" t="n">
        <f aca="false">E71+E72+E73+E74</f>
        <v>9.54</v>
      </c>
      <c r="F70" s="105" t="n">
        <f aca="false">F71+F72+F73+F74</f>
        <v>89.13</v>
      </c>
      <c r="G70" s="105" t="n">
        <f aca="false">G71+G72+G73+G74</f>
        <v>522.74</v>
      </c>
      <c r="H70" s="105" t="n">
        <f aca="false">H71+H72+H73+H74</f>
        <v>0.16</v>
      </c>
      <c r="I70" s="105" t="n">
        <f aca="false">I71+I72+I73+I74</f>
        <v>16.88</v>
      </c>
      <c r="J70" s="105" t="n">
        <f aca="false">J71+J72+J73+J74</f>
        <v>16</v>
      </c>
      <c r="K70" s="105" t="n">
        <f aca="false">K71+K72+K73+K74</f>
        <v>316.85</v>
      </c>
      <c r="L70" s="105" t="n">
        <f aca="false">L71+L72+L73+L74</f>
        <v>8.2</v>
      </c>
      <c r="M70" s="105" t="n">
        <f aca="false">M71+M72+M73+M74</f>
        <v>1.48</v>
      </c>
      <c r="N70" s="105" t="n">
        <f aca="false">N71+N72+N73+N74</f>
        <v>4.75</v>
      </c>
      <c r="O70" s="106" t="n">
        <f aca="false">O71+O72+O73+O74</f>
        <v>95</v>
      </c>
      <c r="P70" s="40" t="n">
        <f aca="false">(D70+F70)*4.2+E70*9</f>
        <v>522.702</v>
      </c>
    </row>
    <row r="71" customFormat="false" ht="12.75" hidden="false" customHeight="false" outlineLevel="0" collapsed="false">
      <c r="A71" s="114"/>
      <c r="B71" s="115" t="s">
        <v>45</v>
      </c>
      <c r="C71" s="116" t="n">
        <v>100</v>
      </c>
      <c r="D71" s="117" t="n">
        <v>0.4</v>
      </c>
      <c r="E71" s="117" t="n">
        <v>0</v>
      </c>
      <c r="F71" s="117" t="n">
        <v>9.8</v>
      </c>
      <c r="G71" s="117" t="n">
        <v>42.84</v>
      </c>
      <c r="H71" s="79" t="n">
        <v>0.07</v>
      </c>
      <c r="I71" s="79" t="n">
        <v>0.88</v>
      </c>
      <c r="J71" s="79" t="n">
        <v>16</v>
      </c>
      <c r="K71" s="79" t="n">
        <v>283.18</v>
      </c>
      <c r="L71" s="79" t="n">
        <v>8.2</v>
      </c>
      <c r="M71" s="79" t="n">
        <v>1.48</v>
      </c>
      <c r="N71" s="79" t="n">
        <v>0.71</v>
      </c>
      <c r="O71" s="40" t="n">
        <v>66</v>
      </c>
      <c r="P71" s="40" t="n">
        <f aca="false">(D71+F71)*4.2+E71*9</f>
        <v>42.84</v>
      </c>
    </row>
    <row r="72" customFormat="false" ht="12.75" hidden="false" customHeight="false" outlineLevel="0" collapsed="false">
      <c r="A72" s="93" t="s">
        <v>141</v>
      </c>
      <c r="B72" s="129" t="s">
        <v>142</v>
      </c>
      <c r="C72" s="69" t="n">
        <v>203</v>
      </c>
      <c r="D72" s="76" t="n">
        <v>11.44</v>
      </c>
      <c r="E72" s="76" t="n">
        <v>9.22</v>
      </c>
      <c r="F72" s="76" t="n">
        <v>49.65</v>
      </c>
      <c r="G72" s="76" t="n">
        <v>339.56</v>
      </c>
      <c r="H72" s="55"/>
      <c r="I72" s="55"/>
      <c r="J72" s="55"/>
      <c r="K72" s="79" t="n">
        <v>0.47</v>
      </c>
      <c r="L72" s="55"/>
      <c r="M72" s="55"/>
      <c r="N72" s="79" t="n">
        <v>0.04</v>
      </c>
      <c r="O72" s="40" t="n">
        <v>3</v>
      </c>
      <c r="P72" s="40" t="n">
        <f aca="false">(D72+F72)*4.2+E72*9</f>
        <v>339.558</v>
      </c>
    </row>
    <row r="73" customFormat="false" ht="12.75" hidden="false" customHeight="false" outlineLevel="0" collapsed="false">
      <c r="A73" s="130" t="s">
        <v>35</v>
      </c>
      <c r="B73" s="68" t="s">
        <v>36</v>
      </c>
      <c r="C73" s="81" t="n">
        <v>200</v>
      </c>
      <c r="D73" s="76" t="n">
        <v>0</v>
      </c>
      <c r="E73" s="74" t="n">
        <v>0</v>
      </c>
      <c r="F73" s="76" t="n">
        <v>10</v>
      </c>
      <c r="G73" s="76" t="n">
        <v>42</v>
      </c>
      <c r="H73" s="60" t="n">
        <v>0.04</v>
      </c>
      <c r="I73" s="55"/>
      <c r="J73" s="55"/>
      <c r="K73" s="79" t="n">
        <v>7.6</v>
      </c>
      <c r="L73" s="55"/>
      <c r="M73" s="55"/>
      <c r="N73" s="60" t="n">
        <v>0.48</v>
      </c>
      <c r="O73" s="40" t="n">
        <v>4</v>
      </c>
      <c r="P73" s="40" t="n">
        <f aca="false">(D73+F73)*4.2+E73*9</f>
        <v>42</v>
      </c>
    </row>
    <row r="74" customFormat="false" ht="13.5" hidden="false" customHeight="true" outlineLevel="0" collapsed="false">
      <c r="A74" s="82"/>
      <c r="B74" s="68" t="s">
        <v>28</v>
      </c>
      <c r="C74" s="59" t="n">
        <v>40</v>
      </c>
      <c r="D74" s="76" t="n">
        <v>3.04</v>
      </c>
      <c r="E74" s="74" t="n">
        <v>0.32</v>
      </c>
      <c r="F74" s="76" t="n">
        <v>19.68</v>
      </c>
      <c r="G74" s="76" t="n">
        <v>98.34</v>
      </c>
      <c r="H74" s="79" t="n">
        <v>0.05</v>
      </c>
      <c r="I74" s="60" t="n">
        <v>16</v>
      </c>
      <c r="J74" s="55"/>
      <c r="K74" s="60" t="n">
        <v>25.6</v>
      </c>
      <c r="L74" s="55"/>
      <c r="M74" s="55"/>
      <c r="N74" s="60" t="n">
        <v>3.52</v>
      </c>
      <c r="O74" s="40" t="n">
        <v>22</v>
      </c>
      <c r="P74" s="40" t="n">
        <f aca="false">(D74+F74)*4.2+E74*9</f>
        <v>98.304</v>
      </c>
    </row>
    <row r="75" customFormat="false" ht="12.75" hidden="false" customHeight="false" outlineLevel="0" collapsed="false">
      <c r="A75" s="121"/>
      <c r="B75" s="75"/>
      <c r="C75" s="131" t="n">
        <f aca="false">SUM(C71:C74)</f>
        <v>543</v>
      </c>
      <c r="D75" s="76"/>
      <c r="E75" s="77"/>
      <c r="F75" s="76"/>
      <c r="G75" s="76"/>
      <c r="H75" s="55"/>
      <c r="I75" s="79"/>
      <c r="J75" s="55"/>
      <c r="K75" s="79"/>
      <c r="L75" s="79"/>
      <c r="M75" s="79"/>
      <c r="N75" s="79"/>
      <c r="P75" s="40" t="n">
        <f aca="false">(D75+F75)*4.2+E75*9</f>
        <v>0</v>
      </c>
    </row>
    <row r="76" customFormat="false" ht="12.75" hidden="false" customHeight="false" outlineLevel="0" collapsed="false">
      <c r="A76" s="121"/>
      <c r="B76" s="66" t="s">
        <v>81</v>
      </c>
      <c r="C76" s="66"/>
      <c r="D76" s="105" t="n">
        <f aca="false">D77+D78+D79+D80+D81+D82</f>
        <v>27.87</v>
      </c>
      <c r="E76" s="105" t="n">
        <f aca="false">E77+E78+E79+E80+E81+E82</f>
        <v>28.06</v>
      </c>
      <c r="F76" s="105" t="n">
        <f aca="false">F77+F78+F79+F80+F81+F82</f>
        <v>101.48</v>
      </c>
      <c r="G76" s="105" t="n">
        <f aca="false">G77+G78+G79+G80+G81+G82</f>
        <v>796.27</v>
      </c>
      <c r="H76" s="105" t="n">
        <f aca="false">H77+H78+H79+H80+H81</f>
        <v>0.5</v>
      </c>
      <c r="I76" s="105" t="n">
        <f aca="false">I77+I78+I79+I80+I81</f>
        <v>53.78</v>
      </c>
      <c r="J76" s="105" t="n">
        <f aca="false">J77+J78+J79+J80+J81</f>
        <v>0</v>
      </c>
      <c r="K76" s="105" t="n">
        <f aca="false">K77+K78+K79+K80+K81</f>
        <v>106.66</v>
      </c>
      <c r="L76" s="105" t="n">
        <f aca="false">L77+L78+L79+L80+L81</f>
        <v>165.72</v>
      </c>
      <c r="M76" s="105" t="n">
        <f aca="false">M77+M78+M79+M80+M81</f>
        <v>61.98</v>
      </c>
      <c r="N76" s="105" t="n">
        <f aca="false">N77+N78+N79+N80+N81</f>
        <v>5.53</v>
      </c>
      <c r="O76" s="106" t="n">
        <f aca="false">O77+O78+O79+O80+O81</f>
        <v>89.4</v>
      </c>
      <c r="P76" s="40" t="n">
        <f aca="false">(D76+F76)*4.2+E76*9</f>
        <v>795.81</v>
      </c>
    </row>
    <row r="77" customFormat="false" ht="14.25" hidden="false" customHeight="true" outlineLevel="0" collapsed="false">
      <c r="A77" s="89" t="s">
        <v>101</v>
      </c>
      <c r="B77" s="68" t="s">
        <v>102</v>
      </c>
      <c r="C77" s="90" t="n">
        <v>60</v>
      </c>
      <c r="D77" s="76" t="n">
        <v>0.88</v>
      </c>
      <c r="E77" s="76" t="n">
        <v>3.11</v>
      </c>
      <c r="F77" s="76" t="n">
        <v>5.64</v>
      </c>
      <c r="G77" s="76" t="n">
        <v>55.8</v>
      </c>
      <c r="H77" s="79" t="n">
        <v>0.04</v>
      </c>
      <c r="I77" s="79" t="n">
        <v>15</v>
      </c>
      <c r="J77" s="77"/>
      <c r="K77" s="79" t="n">
        <v>8.4</v>
      </c>
      <c r="L77" s="79"/>
      <c r="M77" s="79"/>
      <c r="N77" s="79" t="n">
        <v>0.54</v>
      </c>
      <c r="O77" s="40" t="n">
        <v>10.9</v>
      </c>
      <c r="P77" s="40" t="n">
        <f aca="false">(D77+F77)*4.2+E77*9</f>
        <v>55.374</v>
      </c>
    </row>
    <row r="78" customFormat="false" ht="14.25" hidden="false" customHeight="true" outlineLevel="0" collapsed="false">
      <c r="A78" s="72" t="s">
        <v>84</v>
      </c>
      <c r="B78" s="73" t="s">
        <v>178</v>
      </c>
      <c r="C78" s="59" t="n">
        <v>200</v>
      </c>
      <c r="D78" s="74" t="n">
        <v>3</v>
      </c>
      <c r="E78" s="74" t="n">
        <f aca="false">4.61-0.21</f>
        <v>4.4</v>
      </c>
      <c r="F78" s="74" t="n">
        <f aca="false">12.54-0.05</f>
        <v>12.49</v>
      </c>
      <c r="G78" s="74" t="n">
        <v>104.65</v>
      </c>
      <c r="H78" s="74" t="s">
        <v>171</v>
      </c>
      <c r="I78" s="74" t="s">
        <v>218</v>
      </c>
      <c r="J78" s="77"/>
      <c r="K78" s="74" t="s">
        <v>219</v>
      </c>
      <c r="L78" s="74" t="s">
        <v>220</v>
      </c>
      <c r="M78" s="74" t="s">
        <v>221</v>
      </c>
      <c r="N78" s="74" t="s">
        <v>222</v>
      </c>
      <c r="O78" s="40" t="n">
        <v>9.6</v>
      </c>
      <c r="P78" s="40" t="n">
        <f aca="false">(D78+F78)*4.2+E78*9</f>
        <v>104.658</v>
      </c>
    </row>
    <row r="79" customFormat="false" ht="12.75" hidden="false" customHeight="false" outlineLevel="0" collapsed="false">
      <c r="A79" s="72" t="s">
        <v>223</v>
      </c>
      <c r="B79" s="129" t="s">
        <v>110</v>
      </c>
      <c r="C79" s="53" t="n">
        <v>110</v>
      </c>
      <c r="D79" s="76" t="n">
        <v>5.73</v>
      </c>
      <c r="E79" s="76" t="n">
        <v>16.34</v>
      </c>
      <c r="F79" s="76" t="n">
        <v>10.38</v>
      </c>
      <c r="G79" s="76" t="n">
        <v>215</v>
      </c>
      <c r="H79" s="69" t="n">
        <v>0.22</v>
      </c>
      <c r="I79" s="69" t="n">
        <v>27.28</v>
      </c>
      <c r="J79" s="69"/>
      <c r="K79" s="69" t="n">
        <v>29.14</v>
      </c>
      <c r="L79" s="69" t="n">
        <v>79.98</v>
      </c>
      <c r="M79" s="69" t="n">
        <v>31.56</v>
      </c>
      <c r="N79" s="69" t="n">
        <v>2.32</v>
      </c>
      <c r="O79" s="40" t="n">
        <v>59.1</v>
      </c>
      <c r="P79" s="40" t="n">
        <f aca="false">(D79+F79)*4.2+E79*9</f>
        <v>214.722</v>
      </c>
    </row>
    <row r="80" customFormat="false" ht="12.75" hidden="false" customHeight="false" outlineLevel="0" collapsed="false">
      <c r="A80" s="132" t="s">
        <v>111</v>
      </c>
      <c r="B80" s="68" t="s">
        <v>112</v>
      </c>
      <c r="C80" s="69" t="n">
        <v>150</v>
      </c>
      <c r="D80" s="76" t="n">
        <v>16.26</v>
      </c>
      <c r="E80" s="133" t="n">
        <v>4.03</v>
      </c>
      <c r="F80" s="76" t="n">
        <v>33.97</v>
      </c>
      <c r="G80" s="76" t="n">
        <v>247.3</v>
      </c>
      <c r="H80" s="76" t="n">
        <v>0.02</v>
      </c>
      <c r="I80" s="76"/>
      <c r="J80" s="77"/>
      <c r="K80" s="76" t="n">
        <v>20.32</v>
      </c>
      <c r="L80" s="76" t="n">
        <v>19.36</v>
      </c>
      <c r="M80" s="76" t="n">
        <v>8.12</v>
      </c>
      <c r="N80" s="76" t="n">
        <v>0.45</v>
      </c>
      <c r="O80" s="40" t="n">
        <v>7</v>
      </c>
      <c r="P80" s="40" t="n">
        <f aca="false">(D80+F80)*4.2+E80*9</f>
        <v>247.236</v>
      </c>
    </row>
    <row r="81" customFormat="false" ht="29.25" hidden="false" customHeight="true" outlineLevel="0" collapsed="false">
      <c r="A81" s="72" t="s">
        <v>42</v>
      </c>
      <c r="B81" s="68" t="s">
        <v>43</v>
      </c>
      <c r="C81" s="69" t="n">
        <v>200</v>
      </c>
      <c r="D81" s="76" t="n">
        <v>1</v>
      </c>
      <c r="E81" s="76" t="n">
        <v>0.1</v>
      </c>
      <c r="F81" s="76" t="n">
        <v>31</v>
      </c>
      <c r="G81" s="76" t="n">
        <v>135</v>
      </c>
      <c r="H81" s="59" t="n">
        <v>0.04</v>
      </c>
      <c r="I81" s="93"/>
      <c r="J81" s="93"/>
      <c r="K81" s="69" t="n">
        <v>8</v>
      </c>
      <c r="L81" s="93" t="n">
        <v>26</v>
      </c>
      <c r="M81" s="93" t="n">
        <v>5.6</v>
      </c>
      <c r="N81" s="59" t="n">
        <v>0.44</v>
      </c>
      <c r="O81" s="40" t="n">
        <v>2.8</v>
      </c>
      <c r="P81" s="40" t="n">
        <f aca="false">(D81+F81)*4.2+E81*9</f>
        <v>135.3</v>
      </c>
    </row>
    <row r="82" customFormat="false" ht="12.75" hidden="false" customHeight="false" outlineLevel="0" collapsed="false">
      <c r="A82" s="67"/>
      <c r="B82" s="134" t="s">
        <v>100</v>
      </c>
      <c r="C82" s="59" t="n">
        <v>20</v>
      </c>
      <c r="D82" s="76" t="n">
        <v>1</v>
      </c>
      <c r="E82" s="74" t="n">
        <v>0.08</v>
      </c>
      <c r="F82" s="76" t="n">
        <v>8</v>
      </c>
      <c r="G82" s="76" t="n">
        <v>38.52</v>
      </c>
      <c r="H82" s="59"/>
      <c r="I82" s="93"/>
      <c r="J82" s="93"/>
      <c r="K82" s="69"/>
      <c r="L82" s="93"/>
      <c r="M82" s="93"/>
      <c r="N82" s="59"/>
      <c r="P82" s="40" t="n">
        <f aca="false">(D82+F82)*4.2+E82*9</f>
        <v>38.52</v>
      </c>
    </row>
    <row r="83" customFormat="false" ht="12.75" hidden="false" customHeight="false" outlineLevel="0" collapsed="false">
      <c r="A83" s="67"/>
      <c r="B83" s="135"/>
      <c r="C83" s="119" t="n">
        <f aca="false">SUM(C77:C82)</f>
        <v>740</v>
      </c>
      <c r="D83" s="76"/>
      <c r="E83" s="74"/>
      <c r="F83" s="76"/>
      <c r="G83" s="76"/>
      <c r="H83" s="60"/>
      <c r="I83" s="55"/>
      <c r="J83" s="55"/>
      <c r="K83" s="79"/>
      <c r="L83" s="55"/>
      <c r="M83" s="55"/>
      <c r="N83" s="60"/>
      <c r="P83" s="40" t="n">
        <f aca="false">(D83+F83)*4.2+E83*9</f>
        <v>0</v>
      </c>
    </row>
    <row r="84" customFormat="false" ht="12.75" hidden="false" customHeight="false" outlineLevel="0" collapsed="false">
      <c r="A84" s="136" t="s">
        <v>224</v>
      </c>
      <c r="B84" s="66" t="s">
        <v>170</v>
      </c>
      <c r="C84" s="66"/>
      <c r="D84" s="105" t="n">
        <f aca="false">D85+D91</f>
        <v>35.18</v>
      </c>
      <c r="E84" s="105" t="n">
        <f aca="false">E85+E91</f>
        <v>40.68</v>
      </c>
      <c r="F84" s="105" t="n">
        <f aca="false">F85+F91</f>
        <v>171.08</v>
      </c>
      <c r="G84" s="105" t="n">
        <f aca="false">G85+G91</f>
        <v>1233.26</v>
      </c>
      <c r="H84" s="105" t="e">
        <f aca="false">H85+H91</f>
        <v>#REF!</v>
      </c>
      <c r="I84" s="105" t="e">
        <f aca="false">I85+I91</f>
        <v>#REF!</v>
      </c>
      <c r="J84" s="105" t="e">
        <f aca="false">J85+J91</f>
        <v>#REF!</v>
      </c>
      <c r="K84" s="105" t="e">
        <f aca="false">K85+K91</f>
        <v>#REF!</v>
      </c>
      <c r="L84" s="105" t="e">
        <f aca="false">L85+L91</f>
        <v>#REF!</v>
      </c>
      <c r="M84" s="105" t="e">
        <f aca="false">M85+M91</f>
        <v>#REF!</v>
      </c>
      <c r="N84" s="105" t="e">
        <f aca="false">N85+N91</f>
        <v>#REF!</v>
      </c>
      <c r="O84" s="106" t="e">
        <f aca="false">O85+O91</f>
        <v>#REF!</v>
      </c>
      <c r="P84" s="40" t="n">
        <f aca="false">(D84+F84)*4.2+E84*9</f>
        <v>1232.412</v>
      </c>
    </row>
    <row r="85" customFormat="false" ht="12.75" hidden="false" customHeight="false" outlineLevel="0" collapsed="false">
      <c r="A85" s="137"/>
      <c r="B85" s="66" t="s">
        <v>18</v>
      </c>
      <c r="C85" s="66"/>
      <c r="D85" s="138" t="n">
        <f aca="false">D86+D87+D88+D89</f>
        <v>11.64</v>
      </c>
      <c r="E85" s="138" t="n">
        <f aca="false">E86+E87+E88+E89</f>
        <v>10.52</v>
      </c>
      <c r="F85" s="138" t="n">
        <f aca="false">F86+F87+F88+F89</f>
        <v>89.5</v>
      </c>
      <c r="G85" s="138" t="n">
        <f aca="false">G86+G87+G88+G89</f>
        <v>519.5</v>
      </c>
      <c r="H85" s="138" t="e">
        <f aca="false">H86+H87+H88+H89+#REF!</f>
        <v>#REF!</v>
      </c>
      <c r="I85" s="138" t="e">
        <f aca="false">I86+I87+I88+I89+#REF!</f>
        <v>#REF!</v>
      </c>
      <c r="J85" s="138" t="e">
        <f aca="false">J86+J87+J88+J89+#REF!</f>
        <v>#REF!</v>
      </c>
      <c r="K85" s="138" t="e">
        <f aca="false">K86+K87+K88+K89+#REF!</f>
        <v>#REF!</v>
      </c>
      <c r="L85" s="138" t="e">
        <f aca="false">L86+L87+L88+L89+#REF!</f>
        <v>#REF!</v>
      </c>
      <c r="M85" s="138" t="e">
        <f aca="false">M86+M87+M88+M89+#REF!</f>
        <v>#REF!</v>
      </c>
      <c r="N85" s="138" t="e">
        <f aca="false">N86+N87+N88+N89+#REF!</f>
        <v>#REF!</v>
      </c>
      <c r="O85" s="139" t="e">
        <f aca="false">O86+O87+O88+O89+#REF!</f>
        <v>#REF!</v>
      </c>
      <c r="P85" s="40" t="n">
        <f aca="false">(D85+F85)*4.2+E85*9</f>
        <v>519.468</v>
      </c>
      <c r="Q85" s="140" t="n">
        <f aca="false">G85-470</f>
        <v>49.5</v>
      </c>
      <c r="R85" s="40" t="n">
        <f aca="false">Q85/9</f>
        <v>5.5</v>
      </c>
    </row>
    <row r="86" customFormat="false" ht="12.75" hidden="false" customHeight="false" outlineLevel="0" collapsed="false">
      <c r="A86" s="110"/>
      <c r="B86" s="141" t="s">
        <v>45</v>
      </c>
      <c r="C86" s="116" t="n">
        <v>100</v>
      </c>
      <c r="D86" s="117" t="n">
        <v>0.4</v>
      </c>
      <c r="E86" s="117" t="n">
        <v>0</v>
      </c>
      <c r="F86" s="117" t="n">
        <v>9.8</v>
      </c>
      <c r="G86" s="117" t="n">
        <v>42.84</v>
      </c>
      <c r="H86" s="142" t="n">
        <v>0.11</v>
      </c>
      <c r="I86" s="142" t="n">
        <v>0.95</v>
      </c>
      <c r="J86" s="142" t="n">
        <v>40</v>
      </c>
      <c r="K86" s="142" t="n">
        <v>99.66</v>
      </c>
      <c r="L86" s="142" t="n">
        <v>71.29</v>
      </c>
      <c r="M86" s="142" t="n">
        <v>23.64</v>
      </c>
      <c r="N86" s="142" t="n">
        <v>0.79</v>
      </c>
      <c r="O86" s="40" t="n">
        <v>15</v>
      </c>
      <c r="P86" s="40" t="n">
        <f aca="false">(D86+F86)*4.2+E86*9</f>
        <v>42.84</v>
      </c>
    </row>
    <row r="87" customFormat="false" ht="24.75" hidden="false" customHeight="true" outlineLevel="0" collapsed="false">
      <c r="A87" s="72" t="s">
        <v>23</v>
      </c>
      <c r="B87" s="73" t="s">
        <v>54</v>
      </c>
      <c r="C87" s="59" t="n">
        <v>203</v>
      </c>
      <c r="D87" s="74" t="n">
        <v>8.2</v>
      </c>
      <c r="E87" s="74" t="n">
        <v>10.2</v>
      </c>
      <c r="F87" s="74" t="n">
        <v>50.02</v>
      </c>
      <c r="G87" s="74" t="n">
        <v>336.32</v>
      </c>
      <c r="H87" s="60" t="n">
        <v>0.03</v>
      </c>
      <c r="I87" s="60" t="n">
        <v>0.65</v>
      </c>
      <c r="J87" s="55"/>
      <c r="K87" s="60" t="n">
        <v>64.43</v>
      </c>
      <c r="L87" s="55"/>
      <c r="M87" s="55"/>
      <c r="N87" s="60" t="n">
        <v>0.4</v>
      </c>
      <c r="O87" s="40" t="n">
        <v>7.7</v>
      </c>
      <c r="P87" s="40" t="n">
        <f aca="false">(D87+F87)*4.2+E87*9</f>
        <v>336.324</v>
      </c>
      <c r="Q87" s="143"/>
      <c r="R87" s="144"/>
      <c r="S87" s="144"/>
      <c r="T87" s="144"/>
      <c r="U87" s="144"/>
      <c r="V87" s="144"/>
      <c r="W87" s="144"/>
      <c r="X87" s="108"/>
      <c r="Y87" s="144"/>
      <c r="Z87" s="144"/>
      <c r="AA87" s="144"/>
      <c r="AB87" s="144"/>
      <c r="AC87" s="144"/>
    </row>
    <row r="88" customFormat="false" ht="12" hidden="false" customHeight="true" outlineLevel="0" collapsed="false">
      <c r="A88" s="67" t="s">
        <v>35</v>
      </c>
      <c r="B88" s="68" t="s">
        <v>36</v>
      </c>
      <c r="C88" s="69" t="n">
        <v>200</v>
      </c>
      <c r="D88" s="76" t="n">
        <v>0</v>
      </c>
      <c r="E88" s="76" t="n">
        <v>0</v>
      </c>
      <c r="F88" s="76" t="n">
        <v>10</v>
      </c>
      <c r="G88" s="76" t="n">
        <v>42</v>
      </c>
      <c r="H88" s="55"/>
      <c r="I88" s="79" t="n">
        <v>0.28</v>
      </c>
      <c r="J88" s="55"/>
      <c r="K88" s="79" t="n">
        <v>100.5</v>
      </c>
      <c r="L88" s="55"/>
      <c r="M88" s="55"/>
      <c r="N88" s="79" t="n">
        <v>0.09</v>
      </c>
      <c r="O88" s="40" t="n">
        <v>9</v>
      </c>
      <c r="P88" s="40" t="n">
        <f aca="false">(D88+F88)*4.2+E88*9</f>
        <v>42</v>
      </c>
      <c r="Q88" s="143"/>
      <c r="R88" s="144"/>
      <c r="S88" s="144"/>
      <c r="T88" s="144"/>
      <c r="U88" s="144"/>
      <c r="V88" s="144"/>
      <c r="W88" s="144"/>
      <c r="X88" s="108"/>
      <c r="Y88" s="144"/>
      <c r="Z88" s="144"/>
      <c r="AA88" s="144"/>
      <c r="AB88" s="144"/>
      <c r="AC88" s="144"/>
    </row>
    <row r="89" customFormat="false" ht="12.75" hidden="false" customHeight="false" outlineLevel="0" collapsed="false">
      <c r="A89" s="80"/>
      <c r="B89" s="134" t="s">
        <v>28</v>
      </c>
      <c r="C89" s="59" t="n">
        <v>40</v>
      </c>
      <c r="D89" s="76" t="n">
        <v>3.04</v>
      </c>
      <c r="E89" s="74" t="n">
        <v>0.32</v>
      </c>
      <c r="F89" s="76" t="n">
        <v>19.68</v>
      </c>
      <c r="G89" s="76" t="n">
        <v>98.34</v>
      </c>
      <c r="H89" s="60" t="n">
        <v>0.04</v>
      </c>
      <c r="I89" s="55"/>
      <c r="J89" s="55"/>
      <c r="K89" s="79" t="n">
        <v>7.6</v>
      </c>
      <c r="L89" s="55"/>
      <c r="M89" s="55"/>
      <c r="N89" s="60" t="n">
        <v>0.48</v>
      </c>
      <c r="O89" s="145" t="n">
        <v>4</v>
      </c>
      <c r="P89" s="40" t="n">
        <f aca="false">(D89+F89)*4.2+E89*9</f>
        <v>98.304</v>
      </c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</row>
    <row r="90" customFormat="false" ht="12.75" hidden="false" customHeight="false" outlineLevel="0" collapsed="false">
      <c r="A90" s="82"/>
      <c r="B90" s="75"/>
      <c r="C90" s="86" t="n">
        <f aca="false">SUM(C86:C89)</f>
        <v>543</v>
      </c>
      <c r="D90" s="84"/>
      <c r="E90" s="85"/>
      <c r="F90" s="84"/>
      <c r="G90" s="84"/>
      <c r="H90" s="79"/>
      <c r="I90" s="60"/>
      <c r="J90" s="55"/>
      <c r="K90" s="60"/>
      <c r="L90" s="55"/>
      <c r="M90" s="55"/>
      <c r="N90" s="60"/>
      <c r="P90" s="40" t="n">
        <f aca="false">(D90+F90)*4.2+E90*9</f>
        <v>0</v>
      </c>
    </row>
    <row r="91" customFormat="false" ht="12.75" hidden="false" customHeight="false" outlineLevel="0" collapsed="false">
      <c r="A91" s="82"/>
      <c r="B91" s="66" t="s">
        <v>81</v>
      </c>
      <c r="C91" s="66"/>
      <c r="D91" s="88" t="n">
        <f aca="false">D92+D93+D94+D95+D96</f>
        <v>23.54</v>
      </c>
      <c r="E91" s="88" t="n">
        <f aca="false">E92+E93+E94+E95+E96</f>
        <v>30.16</v>
      </c>
      <c r="F91" s="88" t="n">
        <f aca="false">F92+F93+F94+F95+F96</f>
        <v>81.58</v>
      </c>
      <c r="G91" s="88" t="n">
        <f aca="false">G92+G93+G94+G95+G96</f>
        <v>713.76</v>
      </c>
      <c r="H91" s="88" t="e">
        <f aca="false">H92+H93+H94+H95+#REF!+H96</f>
        <v>#REF!</v>
      </c>
      <c r="I91" s="88" t="e">
        <f aca="false">I92+I93+I94+I95+#REF!+I96</f>
        <v>#REF!</v>
      </c>
      <c r="J91" s="88" t="e">
        <f aca="false">J92+J93+J94+J95+#REF!+J96</f>
        <v>#REF!</v>
      </c>
      <c r="K91" s="88" t="e">
        <f aca="false">K92+K93+K94+K95+#REF!+K96</f>
        <v>#REF!</v>
      </c>
      <c r="L91" s="88" t="e">
        <f aca="false">L92+L93+L94+L95+#REF!+L96</f>
        <v>#REF!</v>
      </c>
      <c r="M91" s="88" t="e">
        <f aca="false">M92+M93+M94+M95+#REF!+M96</f>
        <v>#REF!</v>
      </c>
      <c r="N91" s="88" t="e">
        <f aca="false">N92+N93+N94+N95+#REF!+N96</f>
        <v>#REF!</v>
      </c>
      <c r="O91" s="146" t="e">
        <f aca="false">O92+O93+O94+O95+#REF!+O96</f>
        <v>#REF!</v>
      </c>
      <c r="P91" s="40" t="n">
        <f aca="false">(D91+F91)*4.2+E91*9</f>
        <v>712.944</v>
      </c>
      <c r="Q91" s="140" t="n">
        <f aca="false">P91-705</f>
        <v>7.94400000000007</v>
      </c>
      <c r="R91" s="40" t="n">
        <f aca="false">Q91/9</f>
        <v>0.882666666666675</v>
      </c>
    </row>
    <row r="92" customFormat="false" ht="16.5" hidden="false" customHeight="true" outlineLevel="0" collapsed="false">
      <c r="A92" s="89" t="s">
        <v>38</v>
      </c>
      <c r="B92" s="68" t="s">
        <v>39</v>
      </c>
      <c r="C92" s="90" t="n">
        <v>60</v>
      </c>
      <c r="D92" s="76" t="n">
        <v>0.9</v>
      </c>
      <c r="E92" s="76" t="n">
        <v>0.06</v>
      </c>
      <c r="F92" s="76" t="n">
        <v>5.28</v>
      </c>
      <c r="G92" s="76" t="n">
        <v>27</v>
      </c>
      <c r="H92" s="74" t="n">
        <v>0.02</v>
      </c>
      <c r="I92" s="74" t="n">
        <v>2.3</v>
      </c>
      <c r="J92" s="74" t="n">
        <v>443</v>
      </c>
      <c r="K92" s="74" t="n">
        <v>14</v>
      </c>
      <c r="L92" s="74" t="n">
        <v>28</v>
      </c>
      <c r="M92" s="74" t="n">
        <v>17</v>
      </c>
      <c r="N92" s="74" t="n">
        <v>0.45</v>
      </c>
      <c r="O92" s="40" t="n">
        <v>9.2</v>
      </c>
      <c r="P92" s="40" t="n">
        <f aca="false">(D92+F92)*4.2+E92*9</f>
        <v>26.496</v>
      </c>
      <c r="S92" s="147"/>
      <c r="T92" s="148"/>
      <c r="U92" s="149"/>
      <c r="V92" s="149"/>
      <c r="W92" s="149"/>
      <c r="X92" s="149"/>
      <c r="Y92" s="149"/>
      <c r="Z92" s="144"/>
      <c r="AA92" s="144"/>
      <c r="AB92" s="144"/>
      <c r="AC92" s="144"/>
      <c r="AD92" s="144"/>
      <c r="AE92" s="144"/>
      <c r="AF92" s="144"/>
    </row>
    <row r="93" customFormat="false" ht="28.5" hidden="false" customHeight="true" outlineLevel="0" collapsed="false">
      <c r="A93" s="72" t="s">
        <v>113</v>
      </c>
      <c r="B93" s="73" t="s">
        <v>225</v>
      </c>
      <c r="C93" s="59" t="n">
        <v>200</v>
      </c>
      <c r="D93" s="74" t="n">
        <f aca="false">3.96-0.86</f>
        <v>3.1</v>
      </c>
      <c r="E93" s="74" t="n">
        <f aca="false">4.86-0.84</f>
        <v>4.02</v>
      </c>
      <c r="F93" s="74" t="n">
        <f aca="false">17.01-0.09</f>
        <v>16.92</v>
      </c>
      <c r="G93" s="74" t="n">
        <v>120.26</v>
      </c>
      <c r="H93" s="74" t="s">
        <v>226</v>
      </c>
      <c r="I93" s="74" t="s">
        <v>227</v>
      </c>
      <c r="J93" s="77"/>
      <c r="K93" s="74" t="s">
        <v>228</v>
      </c>
      <c r="L93" s="74" t="s">
        <v>229</v>
      </c>
      <c r="M93" s="74" t="s">
        <v>230</v>
      </c>
      <c r="N93" s="74" t="s">
        <v>231</v>
      </c>
      <c r="O93" s="40" t="n">
        <v>11.2</v>
      </c>
      <c r="P93" s="40" t="n">
        <f aca="false">(D93+F93)*4.2+E93*9</f>
        <v>120.264</v>
      </c>
      <c r="S93" s="150"/>
      <c r="T93" s="151"/>
      <c r="U93" s="152"/>
      <c r="V93" s="153"/>
      <c r="W93" s="153"/>
      <c r="X93" s="153"/>
      <c r="Y93" s="153"/>
      <c r="Z93" s="153"/>
      <c r="AA93" s="153"/>
      <c r="AB93" s="108"/>
      <c r="AC93" s="153"/>
      <c r="AD93" s="153"/>
      <c r="AE93" s="153"/>
      <c r="AF93" s="144"/>
    </row>
    <row r="94" customFormat="false" ht="12.75" hidden="false" customHeight="false" outlineLevel="0" collapsed="false">
      <c r="A94" s="121" t="n">
        <v>218</v>
      </c>
      <c r="B94" s="68" t="s">
        <v>116</v>
      </c>
      <c r="C94" s="69" t="n">
        <v>200</v>
      </c>
      <c r="D94" s="76" t="n">
        <v>16.48</v>
      </c>
      <c r="E94" s="76" t="n">
        <v>25.76</v>
      </c>
      <c r="F94" s="76" t="n">
        <v>10.39</v>
      </c>
      <c r="G94" s="76" t="n">
        <v>345</v>
      </c>
      <c r="H94" s="69" t="n">
        <v>0.09</v>
      </c>
      <c r="I94" s="69" t="n">
        <v>0.94</v>
      </c>
      <c r="J94" s="69"/>
      <c r="K94" s="69" t="n">
        <v>50</v>
      </c>
      <c r="L94" s="69" t="n">
        <v>87.8</v>
      </c>
      <c r="M94" s="69" t="n">
        <v>18.72</v>
      </c>
      <c r="N94" s="69" t="n">
        <v>1.28</v>
      </c>
      <c r="O94" s="40" t="n">
        <v>39</v>
      </c>
      <c r="P94" s="40" t="n">
        <f aca="false">(D94+F94)*4.2+E94*9</f>
        <v>344.694</v>
      </c>
    </row>
    <row r="95" customFormat="false" ht="24" hidden="false" customHeight="false" outlineLevel="0" collapsed="false">
      <c r="A95" s="92" t="s">
        <v>117</v>
      </c>
      <c r="B95" s="68" t="s">
        <v>118</v>
      </c>
      <c r="C95" s="69" t="n">
        <v>200</v>
      </c>
      <c r="D95" s="76" t="n">
        <v>0.02</v>
      </c>
      <c r="E95" s="76"/>
      <c r="F95" s="76" t="n">
        <v>29.31</v>
      </c>
      <c r="G95" s="76" t="n">
        <v>123.16</v>
      </c>
      <c r="H95" s="69" t="n">
        <v>0.15</v>
      </c>
      <c r="I95" s="93" t="n">
        <v>21</v>
      </c>
      <c r="J95" s="69"/>
      <c r="K95" s="69" t="n">
        <v>14.64</v>
      </c>
      <c r="L95" s="69" t="n">
        <v>79.73</v>
      </c>
      <c r="M95" s="69" t="n">
        <v>29.33</v>
      </c>
      <c r="N95" s="69" t="n">
        <v>1.16</v>
      </c>
      <c r="O95" s="40" t="n">
        <v>23</v>
      </c>
      <c r="P95" s="40" t="n">
        <f aca="false">(D95+F95)*4.2+E95*9</f>
        <v>123.186</v>
      </c>
      <c r="Q95" s="154"/>
      <c r="R95" s="155"/>
      <c r="S95" s="149"/>
      <c r="T95" s="149"/>
      <c r="U95" s="149"/>
      <c r="V95" s="149"/>
      <c r="W95" s="149"/>
      <c r="X95" s="149"/>
      <c r="Y95" s="156"/>
      <c r="Z95" s="149"/>
      <c r="AA95" s="149"/>
      <c r="AB95" s="149"/>
      <c r="AC95" s="149"/>
      <c r="AD95" s="149"/>
    </row>
    <row r="96" customFormat="false" ht="12.75" hidden="false" customHeight="false" outlineLevel="0" collapsed="false">
      <c r="A96" s="72"/>
      <c r="B96" s="68" t="s">
        <v>28</v>
      </c>
      <c r="C96" s="83" t="n">
        <v>40</v>
      </c>
      <c r="D96" s="84" t="n">
        <v>3.04</v>
      </c>
      <c r="E96" s="85" t="n">
        <v>0.32</v>
      </c>
      <c r="F96" s="84" t="n">
        <v>19.68</v>
      </c>
      <c r="G96" s="84" t="n">
        <v>98.34</v>
      </c>
      <c r="H96" s="74" t="n">
        <v>0.04</v>
      </c>
      <c r="I96" s="77"/>
      <c r="J96" s="77"/>
      <c r="K96" s="76" t="n">
        <v>7.25</v>
      </c>
      <c r="L96" s="77" t="n">
        <v>32.5</v>
      </c>
      <c r="M96" s="77" t="n">
        <v>10.5</v>
      </c>
      <c r="N96" s="74" t="n">
        <v>0.9</v>
      </c>
      <c r="O96" s="40" t="n">
        <v>3</v>
      </c>
      <c r="P96" s="40" t="n">
        <f aca="false">(D96+F96)*4.2+E96*9</f>
        <v>98.304</v>
      </c>
    </row>
    <row r="97" customFormat="false" ht="12.75" hidden="false" customHeight="false" outlineLevel="0" collapsed="false">
      <c r="A97" s="72"/>
      <c r="B97" s="75"/>
      <c r="C97" s="119" t="n">
        <f aca="false">SUM(C92:C96)</f>
        <v>700</v>
      </c>
      <c r="D97" s="76"/>
      <c r="E97" s="74"/>
      <c r="F97" s="76"/>
      <c r="G97" s="76"/>
      <c r="H97" s="74"/>
      <c r="I97" s="77"/>
      <c r="J97" s="77"/>
      <c r="K97" s="76"/>
      <c r="L97" s="77"/>
      <c r="M97" s="77"/>
      <c r="N97" s="74"/>
      <c r="P97" s="40" t="n">
        <f aca="false">(D97+F97)*4.2+E97*9</f>
        <v>0</v>
      </c>
    </row>
    <row r="98" customFormat="false" ht="12.75" hidden="false" customHeight="false" outlineLevel="0" collapsed="false">
      <c r="A98" s="66" t="s">
        <v>55</v>
      </c>
      <c r="B98" s="66"/>
      <c r="C98" s="66"/>
      <c r="D98" s="105" t="n">
        <f aca="false">D99+D105</f>
        <v>38.8397</v>
      </c>
      <c r="E98" s="105" t="n">
        <f aca="false">E99+E105</f>
        <v>41.8793</v>
      </c>
      <c r="F98" s="105" t="n">
        <f aca="false">F99+F105</f>
        <v>212.9603</v>
      </c>
      <c r="G98" s="105" t="n">
        <f aca="false">G99+G105</f>
        <v>1456.496</v>
      </c>
      <c r="H98" s="105" t="e">
        <f aca="false">H99+H105</f>
        <v>#REF!</v>
      </c>
      <c r="I98" s="105" t="e">
        <f aca="false">I99+I105</f>
        <v>#REF!</v>
      </c>
      <c r="J98" s="105" t="e">
        <f aca="false">J99+J105</f>
        <v>#REF!</v>
      </c>
      <c r="K98" s="105" t="e">
        <f aca="false">K99+K105</f>
        <v>#REF!</v>
      </c>
      <c r="L98" s="105" t="e">
        <f aca="false">L99+L105</f>
        <v>#REF!</v>
      </c>
      <c r="M98" s="105" t="e">
        <f aca="false">M99+M105</f>
        <v>#REF!</v>
      </c>
      <c r="N98" s="105" t="e">
        <f aca="false">N99+N105</f>
        <v>#REF!</v>
      </c>
      <c r="O98" s="106" t="e">
        <f aca="false">O99+O105</f>
        <v>#REF!</v>
      </c>
      <c r="P98" s="40" t="n">
        <f aca="false">(D98+F98)*4.2+E98*9</f>
        <v>1434.4737</v>
      </c>
    </row>
    <row r="99" customFormat="false" ht="12.75" hidden="false" customHeight="false" outlineLevel="0" collapsed="false">
      <c r="A99" s="157"/>
      <c r="B99" s="66" t="s">
        <v>18</v>
      </c>
      <c r="C99" s="66"/>
      <c r="D99" s="105" t="n">
        <f aca="false">D100+D101+D102+D103</f>
        <v>18.4097</v>
      </c>
      <c r="E99" s="105" t="n">
        <f aca="false">E100+E101+E102+E103</f>
        <v>11.3093</v>
      </c>
      <c r="F99" s="105" t="n">
        <f aca="false">F100+F101+F102+F103</f>
        <v>136.0903</v>
      </c>
      <c r="G99" s="105" t="n">
        <f aca="false">G100+G101+G102+G103</f>
        <v>751.446</v>
      </c>
      <c r="H99" s="131" t="e">
        <f aca="false">H100+H101+#REF!+H103</f>
        <v>#REF!</v>
      </c>
      <c r="I99" s="131" t="e">
        <f aca="false">I100+I101+#REF!+I103</f>
        <v>#REF!</v>
      </c>
      <c r="J99" s="131" t="e">
        <f aca="false">J100+J101+#REF!+J103</f>
        <v>#REF!</v>
      </c>
      <c r="K99" s="131" t="e">
        <f aca="false">K100+K101+#REF!+K103</f>
        <v>#REF!</v>
      </c>
      <c r="L99" s="131" t="e">
        <f aca="false">L100+L101+#REF!+L103</f>
        <v>#REF!</v>
      </c>
      <c r="M99" s="131" t="e">
        <f aca="false">M100+M101+#REF!+M103</f>
        <v>#REF!</v>
      </c>
      <c r="N99" s="131" t="e">
        <f aca="false">N100+N101+#REF!+N103</f>
        <v>#REF!</v>
      </c>
      <c r="O99" s="158" t="e">
        <f aca="false">O100+O101+#REF!+O103</f>
        <v>#REF!</v>
      </c>
      <c r="P99" s="40" t="n">
        <f aca="false">(D99+F99)*4.2+E99*9</f>
        <v>750.6837</v>
      </c>
    </row>
    <row r="100" customFormat="false" ht="26.25" hidden="false" customHeight="true" outlineLevel="0" collapsed="false">
      <c r="A100" s="93" t="s">
        <v>23</v>
      </c>
      <c r="B100" s="73" t="s">
        <v>143</v>
      </c>
      <c r="C100" s="59" t="n">
        <v>203</v>
      </c>
      <c r="D100" s="76" t="n">
        <v>7.16</v>
      </c>
      <c r="E100" s="76" t="n">
        <v>4.66</v>
      </c>
      <c r="F100" s="76" t="n">
        <v>40.52</v>
      </c>
      <c r="G100" s="76" t="n">
        <v>242.96</v>
      </c>
      <c r="H100" s="79" t="n">
        <v>0.06</v>
      </c>
      <c r="I100" s="79" t="n">
        <v>2.82</v>
      </c>
      <c r="J100" s="55"/>
      <c r="K100" s="79" t="n">
        <v>14.58</v>
      </c>
      <c r="L100" s="79" t="n">
        <v>25.31</v>
      </c>
      <c r="M100" s="79" t="n">
        <v>6.62</v>
      </c>
      <c r="N100" s="79" t="n">
        <v>1.51</v>
      </c>
      <c r="O100" s="40" t="n">
        <v>38</v>
      </c>
      <c r="P100" s="40" t="n">
        <f aca="false">(D100+F100)*4.2+E100*9</f>
        <v>242.196</v>
      </c>
      <c r="Q100" s="151"/>
      <c r="R100" s="152"/>
      <c r="S100" s="152"/>
      <c r="T100" s="152"/>
      <c r="U100" s="152"/>
      <c r="V100" s="152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</row>
    <row r="101" customFormat="false" ht="13.5" hidden="false" customHeight="true" outlineLevel="0" collapsed="false">
      <c r="A101" s="93" t="s">
        <v>138</v>
      </c>
      <c r="B101" s="68" t="s">
        <v>139</v>
      </c>
      <c r="C101" s="69" t="n">
        <v>100</v>
      </c>
      <c r="D101" s="76" t="n">
        <f aca="false">4.91*1.67</f>
        <v>8.1997</v>
      </c>
      <c r="E101" s="76" t="n">
        <f aca="false">3.79*1.67</f>
        <v>6.3293</v>
      </c>
      <c r="F101" s="76" t="n">
        <f aca="false">36.09*1.67</f>
        <v>60.2703</v>
      </c>
      <c r="G101" s="76" t="n">
        <v>344.5</v>
      </c>
      <c r="H101" s="79" t="n">
        <v>0.3</v>
      </c>
      <c r="I101" s="55" t="n">
        <v>0.15</v>
      </c>
      <c r="J101" s="79" t="n">
        <v>21</v>
      </c>
      <c r="K101" s="79" t="n">
        <v>15.38</v>
      </c>
      <c r="L101" s="79" t="n">
        <v>208.35</v>
      </c>
      <c r="M101" s="79" t="n">
        <v>138.65</v>
      </c>
      <c r="N101" s="79" t="n">
        <v>4.66</v>
      </c>
      <c r="O101" s="40" t="n">
        <v>16</v>
      </c>
      <c r="P101" s="40" t="n">
        <f aca="false">(D101+F101)*4.2+E101*9</f>
        <v>344.5377</v>
      </c>
      <c r="Q101" s="155"/>
      <c r="R101" s="149"/>
      <c r="S101" s="149"/>
      <c r="T101" s="149"/>
      <c r="U101" s="149"/>
      <c r="V101" s="149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</row>
    <row r="102" customFormat="false" ht="14.25" hidden="false" customHeight="true" outlineLevel="0" collapsed="false">
      <c r="A102" s="161" t="n">
        <v>323</v>
      </c>
      <c r="B102" s="68" t="s">
        <v>62</v>
      </c>
      <c r="C102" s="69" t="n">
        <v>200</v>
      </c>
      <c r="D102" s="76" t="n">
        <v>0.01</v>
      </c>
      <c r="E102" s="77"/>
      <c r="F102" s="76" t="n">
        <v>15.62</v>
      </c>
      <c r="G102" s="76" t="n">
        <v>65.646</v>
      </c>
      <c r="H102" s="79"/>
      <c r="I102" s="79"/>
      <c r="J102" s="55"/>
      <c r="K102" s="79"/>
      <c r="L102" s="55"/>
      <c r="M102" s="55"/>
      <c r="N102" s="79"/>
      <c r="P102" s="40" t="n">
        <f aca="false">(D102+F102)*4.2+E102*9</f>
        <v>65.646</v>
      </c>
      <c r="Q102" s="155"/>
      <c r="R102" s="149"/>
      <c r="S102" s="149"/>
      <c r="T102" s="156"/>
      <c r="U102" s="149"/>
      <c r="V102" s="149"/>
      <c r="W102" s="159"/>
      <c r="X102" s="160"/>
      <c r="Y102" s="160"/>
      <c r="Z102" s="159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</row>
    <row r="103" customFormat="false" ht="14.25" hidden="false" customHeight="true" outlineLevel="0" collapsed="false">
      <c r="A103" s="72"/>
      <c r="B103" s="68" t="s">
        <v>28</v>
      </c>
      <c r="C103" s="59" t="n">
        <v>40</v>
      </c>
      <c r="D103" s="76" t="n">
        <v>3.04</v>
      </c>
      <c r="E103" s="74" t="n">
        <v>0.32</v>
      </c>
      <c r="F103" s="76" t="n">
        <v>19.68</v>
      </c>
      <c r="G103" s="76" t="n">
        <v>98.34</v>
      </c>
      <c r="H103" s="60" t="n">
        <v>0.1</v>
      </c>
      <c r="I103" s="55"/>
      <c r="J103" s="55"/>
      <c r="K103" s="79" t="n">
        <v>17.4</v>
      </c>
      <c r="L103" s="55" t="n">
        <v>78</v>
      </c>
      <c r="M103" s="55" t="n">
        <v>25.2</v>
      </c>
      <c r="N103" s="60" t="n">
        <v>2.16</v>
      </c>
      <c r="O103" s="40" t="n">
        <v>3</v>
      </c>
      <c r="P103" s="40" t="n">
        <f aca="false">(D103+F103)*4.2+E103*9</f>
        <v>98.304</v>
      </c>
      <c r="Q103" s="155"/>
      <c r="R103" s="143"/>
      <c r="S103" s="149"/>
      <c r="T103" s="143"/>
      <c r="U103" s="149"/>
      <c r="V103" s="149"/>
      <c r="W103" s="162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60"/>
      <c r="AH103" s="159"/>
      <c r="AI103" s="159"/>
      <c r="AJ103" s="162"/>
    </row>
    <row r="104" customFormat="false" ht="15" hidden="false" customHeight="true" outlineLevel="0" collapsed="false">
      <c r="A104" s="72"/>
      <c r="B104" s="75"/>
      <c r="C104" s="86" t="n">
        <f aca="false">SUM(C100:C103)</f>
        <v>543</v>
      </c>
      <c r="D104" s="84"/>
      <c r="E104" s="85"/>
      <c r="F104" s="84"/>
      <c r="G104" s="84"/>
      <c r="H104" s="79"/>
      <c r="I104" s="60"/>
      <c r="J104" s="55"/>
      <c r="K104" s="60"/>
      <c r="L104" s="55"/>
      <c r="M104" s="55"/>
      <c r="N104" s="60"/>
      <c r="P104" s="40" t="n">
        <f aca="false">(D104+F104)*4.2+E104*9</f>
        <v>0</v>
      </c>
      <c r="Q104" s="148"/>
      <c r="R104" s="152"/>
      <c r="S104" s="152"/>
      <c r="T104" s="152"/>
      <c r="U104" s="152"/>
      <c r="V104" s="152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</row>
    <row r="105" customFormat="false" ht="17.25" hidden="false" customHeight="true" outlineLevel="0" collapsed="false">
      <c r="A105" s="104"/>
      <c r="B105" s="66" t="s">
        <v>81</v>
      </c>
      <c r="C105" s="66"/>
      <c r="D105" s="88" t="n">
        <f aca="false">D106+D107+D108+D109+D110+D111</f>
        <v>20.43</v>
      </c>
      <c r="E105" s="88" t="n">
        <f aca="false">E106+E107+E108+E109+E110+E111</f>
        <v>30.57</v>
      </c>
      <c r="F105" s="88" t="n">
        <f aca="false">F106+F107+F108+F109+F110+F111</f>
        <v>76.87</v>
      </c>
      <c r="G105" s="88" t="n">
        <f aca="false">G106+G107+G108+G109+G110+G111</f>
        <v>705.05</v>
      </c>
      <c r="H105" s="88" t="n">
        <v>0.71</v>
      </c>
      <c r="I105" s="88" t="n">
        <v>129.11</v>
      </c>
      <c r="J105" s="88" t="n">
        <f aca="false">J106+J107+J108+J110+J111</f>
        <v>0</v>
      </c>
      <c r="K105" s="88" t="n">
        <v>153.91</v>
      </c>
      <c r="L105" s="88" t="n">
        <v>204.2</v>
      </c>
      <c r="M105" s="88" t="n">
        <v>74.52</v>
      </c>
      <c r="N105" s="88" t="n">
        <v>4.62</v>
      </c>
      <c r="O105" s="146" t="n">
        <v>84.3</v>
      </c>
      <c r="P105" s="40" t="n">
        <f aca="false">(D105+F105)*4.2+E105*9</f>
        <v>683.79</v>
      </c>
      <c r="Q105" s="148"/>
      <c r="R105" s="152"/>
      <c r="S105" s="152"/>
      <c r="T105" s="152"/>
      <c r="U105" s="152"/>
      <c r="V105" s="152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</row>
    <row r="106" customFormat="false" ht="15" hidden="false" customHeight="true" outlineLevel="0" collapsed="false">
      <c r="A106" s="89" t="s">
        <v>82</v>
      </c>
      <c r="B106" s="68" t="s">
        <v>83</v>
      </c>
      <c r="C106" s="163" t="n">
        <v>60</v>
      </c>
      <c r="D106" s="76" t="n">
        <v>0.94</v>
      </c>
      <c r="E106" s="76" t="n">
        <v>3.06</v>
      </c>
      <c r="F106" s="76" t="n">
        <v>5.66</v>
      </c>
      <c r="G106" s="76" t="n">
        <v>55.26</v>
      </c>
      <c r="H106" s="79" t="n">
        <v>0.04</v>
      </c>
      <c r="I106" s="79" t="n">
        <v>15</v>
      </c>
      <c r="J106" s="77"/>
      <c r="K106" s="79" t="n">
        <v>8.4</v>
      </c>
      <c r="L106" s="79"/>
      <c r="M106" s="79"/>
      <c r="N106" s="79" t="n">
        <v>0.54</v>
      </c>
      <c r="O106" s="40" t="n">
        <v>10.9</v>
      </c>
      <c r="P106" s="40" t="n">
        <f aca="false">(D106+F106)*4.2+E106*9</f>
        <v>55.26</v>
      </c>
      <c r="Q106" s="148"/>
      <c r="R106" s="152"/>
      <c r="S106" s="152"/>
      <c r="T106" s="152"/>
      <c r="U106" s="152"/>
      <c r="V106" s="152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</row>
    <row r="107" customFormat="false" ht="12" hidden="false" customHeight="true" outlineLevel="0" collapsed="false">
      <c r="A107" s="72" t="s">
        <v>119</v>
      </c>
      <c r="B107" s="129" t="s">
        <v>232</v>
      </c>
      <c r="C107" s="164" t="n">
        <v>200</v>
      </c>
      <c r="D107" s="76" t="n">
        <f aca="false">4.65-0.09</f>
        <v>4.56</v>
      </c>
      <c r="E107" s="76" t="n">
        <f aca="false">6.92-0.02</f>
        <v>6.9</v>
      </c>
      <c r="F107" s="76" t="n">
        <f aca="false">12.49-0.27</f>
        <v>12.22</v>
      </c>
      <c r="G107" s="76" t="n">
        <v>132.58</v>
      </c>
      <c r="H107" s="125" t="s">
        <v>179</v>
      </c>
      <c r="I107" s="125" t="s">
        <v>233</v>
      </c>
      <c r="J107" s="77"/>
      <c r="K107" s="125" t="s">
        <v>234</v>
      </c>
      <c r="L107" s="125" t="s">
        <v>235</v>
      </c>
      <c r="M107" s="125" t="s">
        <v>236</v>
      </c>
      <c r="N107" s="74" t="s">
        <v>237</v>
      </c>
      <c r="O107" s="165" t="n">
        <v>17.6</v>
      </c>
      <c r="P107" s="40" t="n">
        <f aca="false">(D107+F107)*4.2+E107*9</f>
        <v>132.576</v>
      </c>
      <c r="Q107" s="148"/>
      <c r="R107" s="152"/>
      <c r="S107" s="152"/>
      <c r="T107" s="152"/>
      <c r="U107" s="152"/>
      <c r="V107" s="152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</row>
    <row r="108" customFormat="false" ht="14.25" hidden="false" customHeight="true" outlineLevel="0" collapsed="false">
      <c r="A108" s="72" t="n">
        <v>203</v>
      </c>
      <c r="B108" s="129" t="s">
        <v>145</v>
      </c>
      <c r="C108" s="164" t="n">
        <v>100</v>
      </c>
      <c r="D108" s="76" t="n">
        <v>9.63</v>
      </c>
      <c r="E108" s="76" t="n">
        <v>12.61</v>
      </c>
      <c r="F108" s="76" t="n">
        <v>8.51</v>
      </c>
      <c r="G108" s="76" t="n">
        <v>189.68</v>
      </c>
      <c r="H108" s="79" t="n">
        <v>0.46</v>
      </c>
      <c r="I108" s="79" t="n">
        <v>1.78</v>
      </c>
      <c r="J108" s="79"/>
      <c r="K108" s="79" t="n">
        <v>10.16</v>
      </c>
      <c r="L108" s="79" t="n">
        <v>8.54</v>
      </c>
      <c r="M108" s="79" t="n">
        <v>1.88</v>
      </c>
      <c r="N108" s="79" t="n">
        <v>1.14</v>
      </c>
      <c r="O108" s="40" t="n">
        <v>33</v>
      </c>
      <c r="P108" s="40" t="n">
        <f aca="false">(D108+F108)*4.2+E108*9</f>
        <v>189.678</v>
      </c>
      <c r="Q108" s="148"/>
      <c r="R108" s="152"/>
      <c r="S108" s="152"/>
      <c r="T108" s="152"/>
      <c r="U108" s="152"/>
      <c r="V108" s="152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</row>
    <row r="109" customFormat="false" ht="14.25" hidden="false" customHeight="true" outlineLevel="0" collapsed="false">
      <c r="A109" s="67" t="s">
        <v>33</v>
      </c>
      <c r="B109" s="68" t="s">
        <v>34</v>
      </c>
      <c r="C109" s="164" t="n">
        <v>150</v>
      </c>
      <c r="D109" s="76" t="n">
        <v>3.26</v>
      </c>
      <c r="E109" s="76" t="n">
        <v>7.8</v>
      </c>
      <c r="F109" s="76" t="n">
        <v>21.99</v>
      </c>
      <c r="G109" s="76" t="n">
        <v>176.3</v>
      </c>
      <c r="H109" s="60" t="n">
        <v>0.05</v>
      </c>
      <c r="I109" s="60" t="n">
        <v>95.18</v>
      </c>
      <c r="J109" s="93"/>
      <c r="K109" s="79" t="n">
        <v>104.13</v>
      </c>
      <c r="L109" s="79" t="n">
        <v>72.31</v>
      </c>
      <c r="M109" s="79" t="n">
        <v>35.84</v>
      </c>
      <c r="N109" s="79" t="n">
        <v>1.44</v>
      </c>
      <c r="O109" s="40" t="n">
        <v>17</v>
      </c>
      <c r="P109" s="40" t="n">
        <f aca="false">(D109+F109)*4.2+E109*9</f>
        <v>176.25</v>
      </c>
      <c r="Q109" s="148"/>
      <c r="R109" s="152"/>
      <c r="S109" s="152"/>
      <c r="T109" s="152"/>
      <c r="U109" s="152"/>
      <c r="V109" s="152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</row>
    <row r="110" customFormat="false" ht="14.25" hidden="false" customHeight="true" outlineLevel="0" collapsed="false">
      <c r="A110" s="120" t="s">
        <v>123</v>
      </c>
      <c r="B110" s="73" t="s">
        <v>124</v>
      </c>
      <c r="C110" s="166" t="n">
        <v>200</v>
      </c>
      <c r="D110" s="167" t="n">
        <v>0.14</v>
      </c>
      <c r="E110" s="167"/>
      <c r="F110" s="74" t="n">
        <v>16.19</v>
      </c>
      <c r="G110" s="74" t="n">
        <v>89.23</v>
      </c>
      <c r="H110" s="127" t="n">
        <v>0.01</v>
      </c>
      <c r="I110" s="127" t="n">
        <v>0.65</v>
      </c>
      <c r="J110" s="128"/>
      <c r="K110" s="79" t="n">
        <v>0.47</v>
      </c>
      <c r="L110" s="55"/>
      <c r="M110" s="55"/>
      <c r="N110" s="79" t="n">
        <v>0.04</v>
      </c>
      <c r="O110" s="40" t="n">
        <v>3</v>
      </c>
      <c r="P110" s="40" t="n">
        <f aca="false">(D110+F110)*4.2+E110*9</f>
        <v>68.586</v>
      </c>
      <c r="Q110" s="148"/>
      <c r="R110" s="152"/>
      <c r="S110" s="152"/>
      <c r="T110" s="152"/>
      <c r="U110" s="152"/>
      <c r="V110" s="152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</row>
    <row r="111" customFormat="false" ht="13.5" hidden="false" customHeight="true" outlineLevel="0" collapsed="false">
      <c r="A111" s="80"/>
      <c r="B111" s="134" t="s">
        <v>28</v>
      </c>
      <c r="C111" s="166" t="n">
        <v>25</v>
      </c>
      <c r="D111" s="76" t="n">
        <f aca="false">1.52*1.25</f>
        <v>1.9</v>
      </c>
      <c r="E111" s="74" t="n">
        <f aca="false">0.16*1.25</f>
        <v>0.2</v>
      </c>
      <c r="F111" s="76" t="n">
        <f aca="false">9.84*1.25</f>
        <v>12.3</v>
      </c>
      <c r="G111" s="76" t="n">
        <v>62</v>
      </c>
      <c r="H111" s="59" t="n">
        <v>0.04</v>
      </c>
      <c r="I111" s="93"/>
      <c r="J111" s="93"/>
      <c r="K111" s="69" t="n">
        <v>8</v>
      </c>
      <c r="L111" s="93" t="n">
        <v>26</v>
      </c>
      <c r="M111" s="93" t="n">
        <v>5.6</v>
      </c>
      <c r="N111" s="59" t="n">
        <v>0.44</v>
      </c>
      <c r="O111" s="40" t="n">
        <v>2.8</v>
      </c>
      <c r="P111" s="40" t="n">
        <f aca="false">(D111+F111)*4.2+E111*9</f>
        <v>61.44</v>
      </c>
      <c r="Q111" s="148"/>
      <c r="R111" s="152"/>
      <c r="S111" s="152"/>
      <c r="T111" s="152"/>
      <c r="U111" s="152"/>
      <c r="V111" s="152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</row>
    <row r="112" customFormat="false" ht="12.75" hidden="false" customHeight="false" outlineLevel="0" collapsed="false">
      <c r="A112" s="168"/>
      <c r="B112" s="169"/>
      <c r="C112" s="170" t="n">
        <f aca="false">SUM(C106:C111)</f>
        <v>735</v>
      </c>
      <c r="D112" s="76"/>
      <c r="E112" s="74"/>
      <c r="F112" s="76"/>
      <c r="G112" s="76"/>
      <c r="H112" s="60"/>
      <c r="I112" s="55"/>
      <c r="J112" s="55"/>
      <c r="K112" s="79"/>
      <c r="L112" s="55"/>
      <c r="M112" s="55"/>
      <c r="N112" s="60"/>
      <c r="P112" s="40" t="n">
        <f aca="false">(D112+F112)*4.2+E112*9</f>
        <v>0</v>
      </c>
      <c r="Q112" s="155"/>
      <c r="R112" s="171"/>
      <c r="S112" s="149"/>
      <c r="T112" s="143"/>
      <c r="U112" s="149"/>
      <c r="V112" s="149"/>
      <c r="W112" s="162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60"/>
      <c r="AH112" s="159"/>
      <c r="AI112" s="159"/>
      <c r="AJ112" s="162"/>
    </row>
    <row r="113" customFormat="false" ht="12.75" hidden="false" customHeight="false" outlineLevel="0" collapsed="false">
      <c r="A113" s="136" t="s">
        <v>238</v>
      </c>
      <c r="B113" s="66" t="s">
        <v>170</v>
      </c>
      <c r="C113" s="66"/>
      <c r="D113" s="105" t="n">
        <f aca="false">D114+D120</f>
        <v>39.03</v>
      </c>
      <c r="E113" s="105" t="n">
        <f aca="false">E114+E120</f>
        <v>49.67</v>
      </c>
      <c r="F113" s="105" t="n">
        <f aca="false">F114+F120</f>
        <v>181.64</v>
      </c>
      <c r="G113" s="105" t="n">
        <f aca="false">G114+G120</f>
        <v>1376.01</v>
      </c>
      <c r="H113" s="105" t="e">
        <f aca="false">H114+H120</f>
        <v>#REF!</v>
      </c>
      <c r="I113" s="105" t="e">
        <f aca="false">I114+I120</f>
        <v>#REF!</v>
      </c>
      <c r="J113" s="105" t="e">
        <f aca="false">J114+J120</f>
        <v>#REF!</v>
      </c>
      <c r="K113" s="105" t="e">
        <f aca="false">K114+K120</f>
        <v>#REF!</v>
      </c>
      <c r="L113" s="105" t="e">
        <f aca="false">L114+L120</f>
        <v>#REF!</v>
      </c>
      <c r="M113" s="105" t="e">
        <f aca="false">M114+M120</f>
        <v>#REF!</v>
      </c>
      <c r="N113" s="105" t="e">
        <f aca="false">N114+N120</f>
        <v>#REF!</v>
      </c>
      <c r="O113" s="106" t="e">
        <f aca="false">O114+O120</f>
        <v>#REF!</v>
      </c>
      <c r="P113" s="40" t="n">
        <f aca="false">(D113+F113)*4.2+E113*9</f>
        <v>1373.844</v>
      </c>
    </row>
    <row r="114" customFormat="false" ht="12.75" hidden="false" customHeight="false" outlineLevel="0" collapsed="false">
      <c r="A114" s="136"/>
      <c r="B114" s="66" t="s">
        <v>18</v>
      </c>
      <c r="C114" s="66"/>
      <c r="D114" s="105" t="n">
        <f aca="false">D115+D116+D117+D118</f>
        <v>14.56</v>
      </c>
      <c r="E114" s="105" t="n">
        <f aca="false">E115+E116+E117+E118</f>
        <v>11.52</v>
      </c>
      <c r="F114" s="105" t="n">
        <f aca="false">F115+F116+F117+F118</f>
        <v>104.85</v>
      </c>
      <c r="G114" s="105" t="n">
        <f aca="false">G115+G116+G117+G118</f>
        <v>606.87</v>
      </c>
      <c r="H114" s="105" t="e">
        <f aca="false">H115+H116+H117+H118+#REF!</f>
        <v>#REF!</v>
      </c>
      <c r="I114" s="105" t="e">
        <f aca="false">I115+I116+I117+I118+#REF!</f>
        <v>#REF!</v>
      </c>
      <c r="J114" s="105" t="e">
        <f aca="false">J115+J116+J117+J118+#REF!</f>
        <v>#REF!</v>
      </c>
      <c r="K114" s="105" t="e">
        <f aca="false">K115+K116+K117+K118+#REF!</f>
        <v>#REF!</v>
      </c>
      <c r="L114" s="105" t="e">
        <f aca="false">L115+L116+L117+L118+#REF!</f>
        <v>#REF!</v>
      </c>
      <c r="M114" s="105" t="e">
        <f aca="false">M115+M116+M117+M118+#REF!</f>
        <v>#REF!</v>
      </c>
      <c r="N114" s="105" t="e">
        <f aca="false">N115+N116+N117+N118+#REF!</f>
        <v>#REF!</v>
      </c>
      <c r="O114" s="106" t="e">
        <f aca="false">O115+O116+O117+O118+#REF!</f>
        <v>#REF!</v>
      </c>
      <c r="P114" s="40" t="n">
        <f aca="false">(D114+F114)*4.2+E114*9</f>
        <v>605.202</v>
      </c>
    </row>
    <row r="115" customFormat="false" ht="24" hidden="false" customHeight="false" outlineLevel="0" collapsed="false">
      <c r="A115" s="95" t="s">
        <v>23</v>
      </c>
      <c r="B115" s="96" t="s">
        <v>136</v>
      </c>
      <c r="C115" s="69" t="n">
        <v>203</v>
      </c>
      <c r="D115" s="97" t="n">
        <f aca="false">7.02</f>
        <v>7.02</v>
      </c>
      <c r="E115" s="97" t="n">
        <f aca="false">4.12</f>
        <v>4.12</v>
      </c>
      <c r="F115" s="97" t="n">
        <f aca="false">30.23</f>
        <v>30.23</v>
      </c>
      <c r="G115" s="97" t="n">
        <v>193.53</v>
      </c>
      <c r="H115" s="55" t="n">
        <v>0.1</v>
      </c>
      <c r="I115" s="55" t="n">
        <v>6.03</v>
      </c>
      <c r="J115" s="55" t="n">
        <v>92.4</v>
      </c>
      <c r="K115" s="55" t="n">
        <v>52.89</v>
      </c>
      <c r="L115" s="55" t="n">
        <v>193.68</v>
      </c>
      <c r="M115" s="55" t="n">
        <v>44.45</v>
      </c>
      <c r="N115" s="55" t="n">
        <v>1.01</v>
      </c>
      <c r="O115" s="40" t="n">
        <v>35</v>
      </c>
      <c r="P115" s="40" t="n">
        <f aca="false">(D115+F115)*4.2+E115*9</f>
        <v>193.53</v>
      </c>
    </row>
    <row r="116" customFormat="false" ht="12.75" hidden="false" customHeight="false" outlineLevel="0" collapsed="false">
      <c r="A116" s="72"/>
      <c r="B116" s="75" t="s">
        <v>60</v>
      </c>
      <c r="C116" s="69" t="n">
        <v>60</v>
      </c>
      <c r="D116" s="76" t="n">
        <f aca="false">1.5*3</f>
        <v>4.5</v>
      </c>
      <c r="E116" s="77" t="n">
        <f aca="false">2.36*3</f>
        <v>7.08</v>
      </c>
      <c r="F116" s="76" t="n">
        <f aca="false">14.98*3</f>
        <v>44.94</v>
      </c>
      <c r="G116" s="76" t="n">
        <f aca="false">91*3</f>
        <v>273</v>
      </c>
      <c r="H116" s="79" t="n">
        <v>0.19</v>
      </c>
      <c r="I116" s="79" t="n">
        <v>31.07</v>
      </c>
      <c r="J116" s="79" t="n">
        <v>25.2</v>
      </c>
      <c r="K116" s="79" t="n">
        <v>49.59</v>
      </c>
      <c r="L116" s="79" t="n">
        <v>91.3</v>
      </c>
      <c r="M116" s="79" t="n">
        <v>35.39</v>
      </c>
      <c r="N116" s="79" t="n">
        <v>1.43</v>
      </c>
      <c r="O116" s="40" t="n">
        <v>23</v>
      </c>
      <c r="P116" s="40" t="n">
        <f aca="false">(D116+F116)*4.2+E116*9</f>
        <v>271.368</v>
      </c>
    </row>
    <row r="117" customFormat="false" ht="12.75" hidden="false" customHeight="false" outlineLevel="0" collapsed="false">
      <c r="A117" s="67" t="s">
        <v>35</v>
      </c>
      <c r="B117" s="68" t="s">
        <v>36</v>
      </c>
      <c r="C117" s="81" t="n">
        <v>200</v>
      </c>
      <c r="D117" s="76" t="n">
        <v>0</v>
      </c>
      <c r="E117" s="74" t="n">
        <v>0</v>
      </c>
      <c r="F117" s="76" t="n">
        <v>10</v>
      </c>
      <c r="G117" s="76" t="n">
        <v>42</v>
      </c>
      <c r="H117" s="55"/>
      <c r="I117" s="79" t="n">
        <v>2.4</v>
      </c>
      <c r="J117" s="55"/>
      <c r="K117" s="79" t="n">
        <v>2.87</v>
      </c>
      <c r="L117" s="79" t="n">
        <v>1.32</v>
      </c>
      <c r="M117" s="79" t="n">
        <v>0.72</v>
      </c>
      <c r="N117" s="79" t="n">
        <v>0.08</v>
      </c>
      <c r="O117" s="40" t="n">
        <v>5</v>
      </c>
      <c r="P117" s="40" t="n">
        <f aca="false">(D117+F117)*4.2+E117*9</f>
        <v>42</v>
      </c>
    </row>
    <row r="118" customFormat="false" ht="12.75" hidden="false" customHeight="false" outlineLevel="0" collapsed="false">
      <c r="A118" s="82"/>
      <c r="B118" s="68" t="s">
        <v>28</v>
      </c>
      <c r="C118" s="83" t="n">
        <v>40</v>
      </c>
      <c r="D118" s="84" t="n">
        <v>3.04</v>
      </c>
      <c r="E118" s="85" t="n">
        <v>0.32</v>
      </c>
      <c r="F118" s="84" t="n">
        <v>19.68</v>
      </c>
      <c r="G118" s="84" t="n">
        <v>98.34</v>
      </c>
      <c r="H118" s="60" t="n">
        <v>0.04</v>
      </c>
      <c r="I118" s="55"/>
      <c r="J118" s="55"/>
      <c r="K118" s="79" t="n">
        <v>8</v>
      </c>
      <c r="L118" s="55" t="n">
        <v>26</v>
      </c>
      <c r="M118" s="55" t="n">
        <v>5.6</v>
      </c>
      <c r="N118" s="60" t="n">
        <v>0.44</v>
      </c>
      <c r="O118" s="40" t="n">
        <v>2.8</v>
      </c>
      <c r="P118" s="40" t="n">
        <f aca="false">(D118+F118)*4.2+E118*9</f>
        <v>98.304</v>
      </c>
    </row>
    <row r="119" customFormat="false" ht="12.75" hidden="false" customHeight="false" outlineLevel="0" collapsed="false">
      <c r="A119" s="80"/>
      <c r="B119" s="75"/>
      <c r="C119" s="172" t="n">
        <f aca="false">SUM(C115:C118)</f>
        <v>503</v>
      </c>
      <c r="D119" s="76"/>
      <c r="E119" s="74"/>
      <c r="F119" s="76"/>
      <c r="G119" s="76"/>
      <c r="H119" s="60"/>
      <c r="I119" s="55"/>
      <c r="J119" s="55"/>
      <c r="K119" s="79"/>
      <c r="L119" s="55"/>
      <c r="M119" s="55"/>
      <c r="N119" s="60"/>
      <c r="P119" s="40" t="n">
        <f aca="false">(D119+F119)*4.2+E119*9</f>
        <v>0</v>
      </c>
    </row>
    <row r="120" customFormat="false" ht="12.75" hidden="false" customHeight="false" outlineLevel="0" collapsed="false">
      <c r="A120" s="80"/>
      <c r="B120" s="66" t="s">
        <v>81</v>
      </c>
      <c r="C120" s="66"/>
      <c r="D120" s="105" t="n">
        <f aca="false">D121+D122+D123+D124+D125+D126</f>
        <v>24.47</v>
      </c>
      <c r="E120" s="105" t="n">
        <f aca="false">E121+E122+E123+E124+E125+E126</f>
        <v>38.15</v>
      </c>
      <c r="F120" s="105" t="n">
        <f aca="false">F121+F122+F123+F124+F125+F126</f>
        <v>76.79</v>
      </c>
      <c r="G120" s="105" t="n">
        <f aca="false">G121+G122+G123+G124+G125+G126</f>
        <v>769.14</v>
      </c>
      <c r="H120" s="105" t="n">
        <f aca="false">H121+H122+H123+H124+H125+H126</f>
        <v>0.69</v>
      </c>
      <c r="I120" s="105" t="n">
        <f aca="false">I121+I122+I123+I124+I125+I126</f>
        <v>21.71</v>
      </c>
      <c r="J120" s="105" t="n">
        <f aca="false">J121+J122+J123+J124+J125+J126</f>
        <v>0.9</v>
      </c>
      <c r="K120" s="105" t="n">
        <f aca="false">K121+K122+K123+K124+K125+K126</f>
        <v>151.85</v>
      </c>
      <c r="L120" s="105" t="n">
        <f aca="false">L121+L122+L123+L124+L125+L126</f>
        <v>371.56</v>
      </c>
      <c r="M120" s="105" t="n">
        <f aca="false">M121+M122+M123+M124+M125+M126</f>
        <v>129.63</v>
      </c>
      <c r="N120" s="105" t="n">
        <f aca="false">N121+N122+N123+N124+N125+N126</f>
        <v>8.81</v>
      </c>
      <c r="O120" s="106" t="n">
        <f aca="false">O121+O122+O123+O124+O125+O126</f>
        <v>68.8</v>
      </c>
      <c r="P120" s="40" t="n">
        <f aca="false">(D120+F120)*4.2+E120*9</f>
        <v>768.642</v>
      </c>
    </row>
    <row r="121" customFormat="false" ht="12.75" hidden="false" customHeight="false" outlineLevel="0" collapsed="false">
      <c r="A121" s="89" t="s">
        <v>86</v>
      </c>
      <c r="B121" s="68" t="s">
        <v>87</v>
      </c>
      <c r="C121" s="90" t="n">
        <v>60</v>
      </c>
      <c r="D121" s="76" t="n">
        <v>0.84</v>
      </c>
      <c r="E121" s="76" t="n">
        <v>3.06</v>
      </c>
      <c r="F121" s="76" t="n">
        <v>6.83</v>
      </c>
      <c r="G121" s="76" t="n">
        <v>59.75</v>
      </c>
      <c r="H121" s="74" t="n">
        <v>0.01</v>
      </c>
      <c r="I121" s="74" t="n">
        <v>3.99</v>
      </c>
      <c r="J121" s="74"/>
      <c r="K121" s="74" t="n">
        <v>21.28</v>
      </c>
      <c r="L121" s="74" t="n">
        <v>24.38</v>
      </c>
      <c r="M121" s="74" t="n">
        <v>12.42</v>
      </c>
      <c r="N121" s="74" t="n">
        <v>0.79</v>
      </c>
      <c r="O121" s="91" t="n">
        <v>7.8</v>
      </c>
      <c r="P121" s="40" t="n">
        <f aca="false">(D121+F121)*4.2+E121*9</f>
        <v>59.754</v>
      </c>
    </row>
    <row r="122" customFormat="false" ht="12.75" hidden="false" customHeight="false" outlineLevel="0" collapsed="false">
      <c r="A122" s="72" t="s">
        <v>125</v>
      </c>
      <c r="B122" s="73" t="s">
        <v>239</v>
      </c>
      <c r="C122" s="59" t="n">
        <v>200</v>
      </c>
      <c r="D122" s="74" t="n">
        <f aca="false">7.49-0.99</f>
        <v>6.5</v>
      </c>
      <c r="E122" s="74" t="n">
        <f aca="false">10.16+12.36-0.84</f>
        <v>21.68</v>
      </c>
      <c r="F122" s="74" t="n">
        <f aca="false">4.87+6.96-0.27</f>
        <v>11.56</v>
      </c>
      <c r="G122" s="74" t="n">
        <v>270.97</v>
      </c>
      <c r="H122" s="74" t="s">
        <v>240</v>
      </c>
      <c r="I122" s="74" t="s">
        <v>233</v>
      </c>
      <c r="J122" s="77"/>
      <c r="K122" s="74" t="s">
        <v>241</v>
      </c>
      <c r="L122" s="74" t="s">
        <v>242</v>
      </c>
      <c r="M122" s="74" t="s">
        <v>243</v>
      </c>
      <c r="N122" s="74" t="s">
        <v>244</v>
      </c>
      <c r="O122" s="40" t="n">
        <v>16</v>
      </c>
      <c r="P122" s="40" t="n">
        <f aca="false">(D122+F122)*4.2+E122*9</f>
        <v>270.972</v>
      </c>
    </row>
    <row r="123" customFormat="false" ht="12.75" hidden="false" customHeight="false" outlineLevel="0" collapsed="false">
      <c r="A123" s="121" t="s">
        <v>96</v>
      </c>
      <c r="B123" s="68" t="s">
        <v>97</v>
      </c>
      <c r="C123" s="69" t="n">
        <v>90</v>
      </c>
      <c r="D123" s="76" t="n">
        <v>11.84</v>
      </c>
      <c r="E123" s="76" t="n">
        <v>10.06</v>
      </c>
      <c r="F123" s="76" t="n">
        <v>16.03</v>
      </c>
      <c r="G123" s="76" t="n">
        <v>208</v>
      </c>
      <c r="H123" s="59" t="n">
        <v>0.05</v>
      </c>
      <c r="I123" s="59" t="n">
        <v>1.22</v>
      </c>
      <c r="J123" s="93"/>
      <c r="K123" s="59" t="n">
        <v>9.8</v>
      </c>
      <c r="L123" s="59" t="n">
        <v>16.87</v>
      </c>
      <c r="M123" s="59" t="n">
        <v>4.54</v>
      </c>
      <c r="N123" s="59" t="n">
        <v>1.39</v>
      </c>
      <c r="O123" s="40" t="n">
        <v>25</v>
      </c>
      <c r="P123" s="40" t="n">
        <f aca="false">(D123+F123)*4.2+E123*9</f>
        <v>207.594</v>
      </c>
    </row>
    <row r="124" customFormat="false" ht="12.75" hidden="false" customHeight="false" outlineLevel="0" collapsed="false">
      <c r="A124" s="72" t="s">
        <v>127</v>
      </c>
      <c r="B124" s="68" t="s">
        <v>128</v>
      </c>
      <c r="C124" s="111" t="n">
        <v>150</v>
      </c>
      <c r="D124" s="76" t="n">
        <v>3.14</v>
      </c>
      <c r="E124" s="74" t="n">
        <v>3.27</v>
      </c>
      <c r="F124" s="76" t="n">
        <v>22.34</v>
      </c>
      <c r="G124" s="76" t="n">
        <v>136.5</v>
      </c>
      <c r="H124" s="60" t="n">
        <v>0.44</v>
      </c>
      <c r="I124" s="55"/>
      <c r="J124" s="55" t="n">
        <v>0.9</v>
      </c>
      <c r="K124" s="79" t="n">
        <v>78</v>
      </c>
      <c r="L124" s="55" t="n">
        <v>215</v>
      </c>
      <c r="M124" s="55" t="n">
        <v>70</v>
      </c>
      <c r="N124" s="60" t="n">
        <v>4.45</v>
      </c>
      <c r="O124" s="40" t="n">
        <v>10</v>
      </c>
      <c r="P124" s="40" t="n">
        <f aca="false">(D124+F124)*4.2+E124*9</f>
        <v>136.446</v>
      </c>
    </row>
    <row r="125" customFormat="false" ht="16.5" hidden="false" customHeight="true" outlineLevel="0" collapsed="false">
      <c r="A125" s="126" t="s">
        <v>42</v>
      </c>
      <c r="B125" s="68" t="s">
        <v>70</v>
      </c>
      <c r="C125" s="69" t="n">
        <v>200</v>
      </c>
      <c r="D125" s="76" t="n">
        <v>1.15</v>
      </c>
      <c r="E125" s="77"/>
      <c r="F125" s="76" t="n">
        <v>12.03</v>
      </c>
      <c r="G125" s="76" t="n">
        <v>55.4</v>
      </c>
      <c r="H125" s="76" t="n">
        <v>0.02</v>
      </c>
      <c r="I125" s="76"/>
      <c r="J125" s="77"/>
      <c r="K125" s="76" t="n">
        <v>20.32</v>
      </c>
      <c r="L125" s="76" t="n">
        <v>19.36</v>
      </c>
      <c r="M125" s="76" t="n">
        <v>8.12</v>
      </c>
      <c r="N125" s="76" t="n">
        <v>0.45</v>
      </c>
      <c r="O125" s="40" t="n">
        <v>7</v>
      </c>
      <c r="P125" s="40" t="n">
        <f aca="false">(D125+F125)*4.2+E125*9</f>
        <v>55.356</v>
      </c>
    </row>
    <row r="126" customFormat="false" ht="12.75" hidden="false" customHeight="false" outlineLevel="0" collapsed="false">
      <c r="A126" s="80"/>
      <c r="B126" s="134" t="s">
        <v>100</v>
      </c>
      <c r="C126" s="59" t="n">
        <v>20</v>
      </c>
      <c r="D126" s="76" t="n">
        <v>1</v>
      </c>
      <c r="E126" s="74" t="n">
        <v>0.08</v>
      </c>
      <c r="F126" s="76" t="n">
        <v>8</v>
      </c>
      <c r="G126" s="76" t="n">
        <v>38.52</v>
      </c>
      <c r="H126" s="74" t="n">
        <v>0.04</v>
      </c>
      <c r="I126" s="77"/>
      <c r="J126" s="77"/>
      <c r="K126" s="76" t="n">
        <v>7.25</v>
      </c>
      <c r="L126" s="77" t="n">
        <v>32.5</v>
      </c>
      <c r="M126" s="77" t="n">
        <v>10.5</v>
      </c>
      <c r="N126" s="74" t="n">
        <v>0.9</v>
      </c>
      <c r="O126" s="40" t="n">
        <v>3</v>
      </c>
      <c r="P126" s="40" t="n">
        <f aca="false">(D126+F126)*4.2+E126*9</f>
        <v>38.52</v>
      </c>
    </row>
    <row r="127" customFormat="false" ht="12.75" hidden="false" customHeight="false" outlineLevel="0" collapsed="false">
      <c r="A127" s="72"/>
      <c r="B127" s="75"/>
      <c r="C127" s="119" t="n">
        <f aca="false">SUM(C121:C126)</f>
        <v>720</v>
      </c>
      <c r="D127" s="76"/>
      <c r="E127" s="74"/>
      <c r="F127" s="76"/>
      <c r="G127" s="76"/>
      <c r="H127" s="60"/>
      <c r="I127" s="55"/>
      <c r="J127" s="55"/>
      <c r="K127" s="79"/>
      <c r="L127" s="55"/>
      <c r="M127" s="55"/>
      <c r="N127" s="60"/>
      <c r="P127" s="40" t="n">
        <f aca="false">(D127+F127)*4.2+E127*9</f>
        <v>0</v>
      </c>
    </row>
    <row r="128" customFormat="false" ht="12.75" hidden="false" customHeight="false" outlineLevel="0" collapsed="false">
      <c r="A128" s="136" t="s">
        <v>245</v>
      </c>
      <c r="B128" s="66" t="s">
        <v>170</v>
      </c>
      <c r="C128" s="66"/>
      <c r="D128" s="105" t="n">
        <f aca="false">D129+D136</f>
        <v>49.05</v>
      </c>
      <c r="E128" s="105" t="n">
        <f aca="false">E129+E136</f>
        <v>36.27</v>
      </c>
      <c r="F128" s="105" t="n">
        <f aca="false">F129+F136</f>
        <v>179.81</v>
      </c>
      <c r="G128" s="105" t="n">
        <f aca="false">G129+G136</f>
        <v>1288.062</v>
      </c>
      <c r="H128" s="105" t="n">
        <f aca="false">H129+H136</f>
        <v>0.709</v>
      </c>
      <c r="I128" s="105" t="n">
        <f aca="false">I129+I136</f>
        <v>50.81</v>
      </c>
      <c r="J128" s="105" t="n">
        <f aca="false">J129+J136</f>
        <v>56.41</v>
      </c>
      <c r="K128" s="105" t="n">
        <f aca="false">K129+K136</f>
        <v>155.65</v>
      </c>
      <c r="L128" s="105" t="n">
        <f aca="false">L129+L136</f>
        <v>538.96</v>
      </c>
      <c r="M128" s="105" t="n">
        <f aca="false">M129+M136</f>
        <v>102.84</v>
      </c>
      <c r="N128" s="105" t="n">
        <f aca="false">N129+N136</f>
        <v>11.25</v>
      </c>
      <c r="O128" s="106" t="n">
        <f aca="false">O129+O136</f>
        <v>163.9</v>
      </c>
      <c r="P128" s="40" t="n">
        <f aca="false">(D128+F128)*4.2+E128*9</f>
        <v>1287.642</v>
      </c>
    </row>
    <row r="129" customFormat="false" ht="12.75" hidden="false" customHeight="false" outlineLevel="0" collapsed="false">
      <c r="A129" s="173"/>
      <c r="B129" s="66" t="s">
        <v>18</v>
      </c>
      <c r="C129" s="66"/>
      <c r="D129" s="105" t="n">
        <f aca="false">D130+D131+D132+D133+D134</f>
        <v>28.65</v>
      </c>
      <c r="E129" s="105" t="n">
        <f aca="false">E130+E131+E132+E133+E134</f>
        <v>11.99</v>
      </c>
      <c r="F129" s="105" t="n">
        <f aca="false">F130+F131+F132+F133+F134</f>
        <v>73.56</v>
      </c>
      <c r="G129" s="105" t="n">
        <f aca="false">G130+G131+G132+G133+G134</f>
        <v>537.272</v>
      </c>
      <c r="H129" s="105" t="n">
        <f aca="false">H130+H131+H132+H133+H134</f>
        <v>0.43</v>
      </c>
      <c r="I129" s="105" t="n">
        <f aca="false">I130+I131+I132+I133+I134</f>
        <v>29.64</v>
      </c>
      <c r="J129" s="105" t="n">
        <f aca="false">J130+J131+J132+J133+J134</f>
        <v>31.21</v>
      </c>
      <c r="K129" s="105" t="n">
        <f aca="false">K130+K131+K132+K133+K134</f>
        <v>66.05</v>
      </c>
      <c r="L129" s="105" t="n">
        <f aca="false">L130+L131+L132+L133+L134</f>
        <v>341.06</v>
      </c>
      <c r="M129" s="105" t="n">
        <f aca="false">M130+M131+M132+M133+M134</f>
        <v>38.28</v>
      </c>
      <c r="N129" s="105" t="n">
        <f aca="false">N130+N131+N132+N133+N134</f>
        <v>6.6</v>
      </c>
      <c r="O129" s="106" t="n">
        <f aca="false">O130+O131+O132+O133+O134</f>
        <v>71.7</v>
      </c>
      <c r="P129" s="40" t="n">
        <f aca="false">(D129+F129)*4.2+E129*9</f>
        <v>537.192</v>
      </c>
    </row>
    <row r="130" customFormat="false" ht="13.5" hidden="false" customHeight="true" outlineLevel="0" collapsed="false">
      <c r="A130" s="89"/>
      <c r="B130" s="68" t="s">
        <v>67</v>
      </c>
      <c r="C130" s="90" t="n">
        <v>40</v>
      </c>
      <c r="D130" s="76" t="n">
        <v>5.08</v>
      </c>
      <c r="E130" s="76" t="n">
        <v>4.6</v>
      </c>
      <c r="F130" s="76" t="n">
        <v>0.28</v>
      </c>
      <c r="G130" s="76" t="n">
        <v>63.912</v>
      </c>
      <c r="H130" s="79" t="n">
        <v>0.05</v>
      </c>
      <c r="I130" s="79" t="n">
        <v>4.3</v>
      </c>
      <c r="J130" s="79"/>
      <c r="K130" s="79" t="n">
        <v>8.6</v>
      </c>
      <c r="L130" s="79" t="n">
        <v>26.66</v>
      </c>
      <c r="M130" s="79" t="n">
        <v>9.03</v>
      </c>
      <c r="N130" s="79" t="n">
        <v>0.3</v>
      </c>
      <c r="O130" s="40" t="n">
        <v>23.9</v>
      </c>
      <c r="P130" s="40" t="n">
        <f aca="false">(D130+F130)*4.2+E130*9</f>
        <v>63.912</v>
      </c>
    </row>
    <row r="131" customFormat="false" ht="12.75" hidden="false" customHeight="false" outlineLevel="0" collapsed="false">
      <c r="A131" s="93" t="s">
        <v>68</v>
      </c>
      <c r="B131" s="174" t="s">
        <v>246</v>
      </c>
      <c r="C131" s="175" t="n">
        <v>120</v>
      </c>
      <c r="D131" s="176" t="n">
        <f aca="false">18.92+0.06</f>
        <v>18.98</v>
      </c>
      <c r="E131" s="176" t="n">
        <f aca="false">7.01+0.06</f>
        <v>7.07</v>
      </c>
      <c r="F131" s="176" t="n">
        <f aca="false">15+16.77</f>
        <v>31.77</v>
      </c>
      <c r="G131" s="176" t="n">
        <v>276.78</v>
      </c>
      <c r="H131" s="60" t="n">
        <v>0.23</v>
      </c>
      <c r="I131" s="60" t="n">
        <v>24.76</v>
      </c>
      <c r="J131" s="55" t="n">
        <v>6.01</v>
      </c>
      <c r="K131" s="60" t="n">
        <v>18.68</v>
      </c>
      <c r="L131" s="60" t="n">
        <v>233.56</v>
      </c>
      <c r="M131" s="60" t="n">
        <v>13.8</v>
      </c>
      <c r="N131" s="60" t="n">
        <v>5.18</v>
      </c>
      <c r="O131" s="40" t="n">
        <v>30</v>
      </c>
      <c r="P131" s="40" t="n">
        <f aca="false">(D131+F131)*4.2+E131*9</f>
        <v>276.78</v>
      </c>
    </row>
    <row r="132" customFormat="false" ht="12.75" hidden="false" customHeight="false" outlineLevel="0" collapsed="false">
      <c r="A132" s="110"/>
      <c r="B132" s="141" t="s">
        <v>45</v>
      </c>
      <c r="C132" s="116" t="n">
        <v>100</v>
      </c>
      <c r="D132" s="117" t="n">
        <v>0.4</v>
      </c>
      <c r="E132" s="117" t="n">
        <v>0</v>
      </c>
      <c r="F132" s="117" t="n">
        <v>9.8</v>
      </c>
      <c r="G132" s="117" t="n">
        <v>42.84</v>
      </c>
      <c r="H132" s="79" t="n">
        <v>0.1</v>
      </c>
      <c r="I132" s="55"/>
      <c r="J132" s="79" t="n">
        <v>25.2</v>
      </c>
      <c r="K132" s="79" t="n">
        <v>13.46</v>
      </c>
      <c r="L132" s="79" t="n">
        <v>54.84</v>
      </c>
      <c r="M132" s="79" t="n">
        <v>9.85</v>
      </c>
      <c r="N132" s="79" t="n">
        <v>0.03</v>
      </c>
      <c r="O132" s="40" t="n">
        <v>8</v>
      </c>
      <c r="P132" s="40" t="n">
        <f aca="false">(D132+F132)*4.2+E132*9</f>
        <v>42.84</v>
      </c>
    </row>
    <row r="133" customFormat="false" ht="12.75" hidden="false" customHeight="false" outlineLevel="0" collapsed="false">
      <c r="A133" s="100" t="s">
        <v>42</v>
      </c>
      <c r="B133" s="68" t="s">
        <v>70</v>
      </c>
      <c r="C133" s="69" t="n">
        <v>200</v>
      </c>
      <c r="D133" s="76" t="n">
        <v>1.15</v>
      </c>
      <c r="E133" s="77"/>
      <c r="F133" s="76" t="n">
        <v>12.03</v>
      </c>
      <c r="G133" s="76" t="n">
        <v>55.4</v>
      </c>
      <c r="H133" s="101" t="n">
        <v>0.01</v>
      </c>
      <c r="I133" s="101" t="n">
        <v>0.58</v>
      </c>
      <c r="J133" s="102"/>
      <c r="K133" s="101" t="n">
        <v>17.31</v>
      </c>
      <c r="L133" s="102"/>
      <c r="M133" s="102"/>
      <c r="N133" s="101" t="n">
        <v>0.65</v>
      </c>
      <c r="O133" s="40" t="n">
        <v>7</v>
      </c>
      <c r="P133" s="40" t="n">
        <f aca="false">(D133+F133)*4.2+E133*9</f>
        <v>55.356</v>
      </c>
    </row>
    <row r="134" customFormat="false" ht="12.75" hidden="false" customHeight="false" outlineLevel="0" collapsed="false">
      <c r="A134" s="82"/>
      <c r="B134" s="68" t="s">
        <v>28</v>
      </c>
      <c r="C134" s="83" t="n">
        <v>40</v>
      </c>
      <c r="D134" s="84" t="n">
        <v>3.04</v>
      </c>
      <c r="E134" s="85" t="n">
        <v>0.32</v>
      </c>
      <c r="F134" s="84" t="n">
        <v>19.68</v>
      </c>
      <c r="G134" s="84" t="n">
        <v>98.34</v>
      </c>
      <c r="H134" s="60" t="n">
        <v>0.04</v>
      </c>
      <c r="I134" s="55"/>
      <c r="J134" s="55"/>
      <c r="K134" s="79" t="n">
        <v>8</v>
      </c>
      <c r="L134" s="55" t="n">
        <v>26</v>
      </c>
      <c r="M134" s="55" t="n">
        <v>5.6</v>
      </c>
      <c r="N134" s="60" t="n">
        <v>0.44</v>
      </c>
      <c r="O134" s="40" t="n">
        <v>2.8</v>
      </c>
      <c r="P134" s="40" t="n">
        <f aca="false">(D134+F134)*4.2+E134*9</f>
        <v>98.304</v>
      </c>
    </row>
    <row r="135" customFormat="false" ht="12.75" hidden="false" customHeight="false" outlineLevel="0" collapsed="false">
      <c r="A135" s="72"/>
      <c r="B135" s="134"/>
      <c r="C135" s="119" t="n">
        <f aca="false">SUM(C130:C134)</f>
        <v>500</v>
      </c>
      <c r="D135" s="76"/>
      <c r="E135" s="76"/>
      <c r="F135" s="76"/>
      <c r="G135" s="76"/>
      <c r="H135" s="79"/>
      <c r="I135" s="55"/>
      <c r="J135" s="55"/>
      <c r="K135" s="79"/>
      <c r="L135" s="55"/>
      <c r="M135" s="55"/>
      <c r="N135" s="79"/>
      <c r="P135" s="40" t="n">
        <f aca="false">(D135+F135)*4.2+E135*9</f>
        <v>0</v>
      </c>
    </row>
    <row r="136" customFormat="false" ht="18.75" hidden="false" customHeight="true" outlineLevel="0" collapsed="false">
      <c r="A136" s="72"/>
      <c r="B136" s="66" t="s">
        <v>81</v>
      </c>
      <c r="C136" s="66"/>
      <c r="D136" s="105" t="n">
        <f aca="false">D137+D138+D139+D140+D141+D142</f>
        <v>20.4</v>
      </c>
      <c r="E136" s="105" t="n">
        <f aca="false">E137+E138+E139+E140+E141+E142</f>
        <v>24.28</v>
      </c>
      <c r="F136" s="105" t="n">
        <f aca="false">F137+F138+F139+F140+F141+F142</f>
        <v>106.25</v>
      </c>
      <c r="G136" s="105" t="n">
        <f aca="false">G137+G138+G139+G140+G141+G142</f>
        <v>750.79</v>
      </c>
      <c r="H136" s="105" t="n">
        <f aca="false">H137+H138+H139+H140+H141+H142</f>
        <v>0.279</v>
      </c>
      <c r="I136" s="105" t="n">
        <f aca="false">I137+I138+I139+I140+I141+I142</f>
        <v>21.17</v>
      </c>
      <c r="J136" s="105" t="n">
        <f aca="false">J137+J138+J139+J140+J141+J142</f>
        <v>25.2</v>
      </c>
      <c r="K136" s="105" t="n">
        <f aca="false">K137+K138+K139+K140+K141+K142</f>
        <v>89.6</v>
      </c>
      <c r="L136" s="105" t="n">
        <f aca="false">L137+L138+L139+L140+L141+L142</f>
        <v>197.9</v>
      </c>
      <c r="M136" s="105" t="n">
        <f aca="false">M137+M138+M139+M140+M141+M142</f>
        <v>64.56</v>
      </c>
      <c r="N136" s="105" t="n">
        <f aca="false">N137+N138+N139+N140+N141+N142</f>
        <v>4.65</v>
      </c>
      <c r="O136" s="106" t="n">
        <f aca="false">O137+O138+O139+O140+O141+O142</f>
        <v>92.2</v>
      </c>
      <c r="P136" s="40" t="n">
        <f aca="false">(D136+F136)*4.2+E136*9</f>
        <v>750.45</v>
      </c>
    </row>
    <row r="137" customFormat="false" ht="12.75" hidden="false" customHeight="false" outlineLevel="0" collapsed="false">
      <c r="A137" s="72" t="s">
        <v>92</v>
      </c>
      <c r="B137" s="107" t="s">
        <v>93</v>
      </c>
      <c r="C137" s="93" t="n">
        <v>60</v>
      </c>
      <c r="D137" s="108" t="n">
        <v>1.21</v>
      </c>
      <c r="E137" s="74" t="n">
        <v>6.2</v>
      </c>
      <c r="F137" s="74" t="n">
        <v>12.33</v>
      </c>
      <c r="G137" s="74" t="n">
        <v>113</v>
      </c>
      <c r="H137" s="74" t="n">
        <v>0.02</v>
      </c>
      <c r="I137" s="74" t="n">
        <v>2.53</v>
      </c>
      <c r="J137" s="74"/>
      <c r="K137" s="74" t="n">
        <v>27.92</v>
      </c>
      <c r="L137" s="74" t="n">
        <v>36.55</v>
      </c>
      <c r="M137" s="74" t="n">
        <v>19.35</v>
      </c>
      <c r="N137" s="74" t="n">
        <v>0.6</v>
      </c>
      <c r="O137" s="91" t="n">
        <v>10.8</v>
      </c>
      <c r="P137" s="40" t="n">
        <f aca="false">(D137+F137)*4.2+E137*9</f>
        <v>112.668</v>
      </c>
    </row>
    <row r="138" customFormat="false" ht="24" hidden="false" customHeight="false" outlineLevel="0" collapsed="false">
      <c r="A138" s="72" t="s">
        <v>113</v>
      </c>
      <c r="B138" s="73" t="s">
        <v>225</v>
      </c>
      <c r="C138" s="59" t="n">
        <v>200</v>
      </c>
      <c r="D138" s="74" t="n">
        <f aca="false">3.96-0.86</f>
        <v>3.1</v>
      </c>
      <c r="E138" s="74" t="n">
        <f aca="false">4.86-0.84</f>
        <v>4.02</v>
      </c>
      <c r="F138" s="74" t="n">
        <f aca="false">17.01-0.09</f>
        <v>16.92</v>
      </c>
      <c r="G138" s="74" t="n">
        <v>120.26</v>
      </c>
      <c r="H138" s="74" t="n">
        <v>0.13</v>
      </c>
      <c r="I138" s="74" t="n">
        <v>16.52</v>
      </c>
      <c r="J138" s="77"/>
      <c r="K138" s="74" t="n">
        <v>19.05</v>
      </c>
      <c r="L138" s="74" t="n">
        <v>66.5</v>
      </c>
      <c r="M138" s="74" t="n">
        <v>26.6</v>
      </c>
      <c r="N138" s="74" t="n">
        <v>0.98</v>
      </c>
      <c r="O138" s="40" t="n">
        <v>7.6</v>
      </c>
      <c r="P138" s="40" t="n">
        <f aca="false">(D138+F138)*4.2+E138*9</f>
        <v>120.264</v>
      </c>
    </row>
    <row r="139" customFormat="false" ht="12.75" hidden="false" customHeight="false" outlineLevel="0" collapsed="false">
      <c r="A139" s="89" t="n">
        <v>370</v>
      </c>
      <c r="B139" s="68" t="s">
        <v>78</v>
      </c>
      <c r="C139" s="90" t="n">
        <v>115</v>
      </c>
      <c r="D139" s="76" t="n">
        <v>6.32</v>
      </c>
      <c r="E139" s="76" t="n">
        <v>8.79</v>
      </c>
      <c r="F139" s="76" t="n">
        <v>19.37</v>
      </c>
      <c r="G139" s="76" t="n">
        <v>187.01</v>
      </c>
      <c r="H139" s="79" t="n">
        <v>0.08</v>
      </c>
      <c r="I139" s="79" t="n">
        <v>0.6</v>
      </c>
      <c r="J139" s="55"/>
      <c r="K139" s="79" t="n">
        <v>17.6</v>
      </c>
      <c r="L139" s="79" t="n">
        <v>13.35</v>
      </c>
      <c r="M139" s="79" t="n">
        <v>2.94</v>
      </c>
      <c r="N139" s="79" t="n">
        <v>2.26</v>
      </c>
      <c r="O139" s="40" t="n">
        <v>59</v>
      </c>
      <c r="P139" s="40" t="n">
        <f aca="false">(D139+F139)*4.2+E139*9</f>
        <v>187.008</v>
      </c>
    </row>
    <row r="140" customFormat="false" ht="12.75" hidden="false" customHeight="false" outlineLevel="0" collapsed="false">
      <c r="A140" s="92" t="s">
        <v>98</v>
      </c>
      <c r="B140" s="68" t="s">
        <v>99</v>
      </c>
      <c r="C140" s="69" t="n">
        <v>150</v>
      </c>
      <c r="D140" s="76" t="n">
        <v>8.77</v>
      </c>
      <c r="E140" s="76" t="n">
        <v>5.19</v>
      </c>
      <c r="F140" s="76" t="n">
        <v>39.63</v>
      </c>
      <c r="G140" s="76" t="n">
        <v>250</v>
      </c>
      <c r="H140" s="69"/>
      <c r="I140" s="93"/>
      <c r="J140" s="69" t="n">
        <v>25.2</v>
      </c>
      <c r="K140" s="69" t="n">
        <v>13.46</v>
      </c>
      <c r="L140" s="69" t="n">
        <v>54.84</v>
      </c>
      <c r="M140" s="69" t="n">
        <v>9.85</v>
      </c>
      <c r="N140" s="69" t="n">
        <v>0.03</v>
      </c>
      <c r="O140" s="40" t="n">
        <v>7</v>
      </c>
      <c r="P140" s="40" t="n">
        <f aca="false">(D140+F140)*4.2+E140*9</f>
        <v>249.99</v>
      </c>
    </row>
    <row r="141" customFormat="false" ht="12.75" hidden="false" customHeight="false" outlineLevel="0" collapsed="false">
      <c r="A141" s="67" t="s">
        <v>35</v>
      </c>
      <c r="B141" s="68" t="s">
        <v>36</v>
      </c>
      <c r="C141" s="69" t="n">
        <v>200</v>
      </c>
      <c r="D141" s="76" t="n">
        <v>0</v>
      </c>
      <c r="E141" s="76" t="n">
        <v>0</v>
      </c>
      <c r="F141" s="76" t="n">
        <v>10</v>
      </c>
      <c r="G141" s="76" t="n">
        <v>42</v>
      </c>
      <c r="H141" s="76" t="n">
        <v>0.009</v>
      </c>
      <c r="I141" s="76" t="n">
        <v>1.52</v>
      </c>
      <c r="J141" s="77"/>
      <c r="K141" s="76" t="n">
        <v>3.57</v>
      </c>
      <c r="L141" s="76" t="n">
        <v>0.66</v>
      </c>
      <c r="M141" s="76" t="n">
        <v>0.22</v>
      </c>
      <c r="N141" s="76" t="n">
        <v>0.34</v>
      </c>
      <c r="O141" s="40" t="n">
        <v>5</v>
      </c>
      <c r="P141" s="40" t="n">
        <f aca="false">(D141+F141)*4.2+E141*9</f>
        <v>42</v>
      </c>
    </row>
    <row r="142" customFormat="false" ht="12" hidden="false" customHeight="true" outlineLevel="0" collapsed="false">
      <c r="A142" s="80"/>
      <c r="B142" s="134" t="s">
        <v>100</v>
      </c>
      <c r="C142" s="59" t="n">
        <v>20</v>
      </c>
      <c r="D142" s="76" t="n">
        <v>1</v>
      </c>
      <c r="E142" s="74" t="n">
        <v>0.08</v>
      </c>
      <c r="F142" s="76" t="n">
        <v>8</v>
      </c>
      <c r="G142" s="76" t="n">
        <v>38.52</v>
      </c>
      <c r="H142" s="59" t="n">
        <v>0.04</v>
      </c>
      <c r="I142" s="93"/>
      <c r="J142" s="93"/>
      <c r="K142" s="69" t="n">
        <v>8</v>
      </c>
      <c r="L142" s="93" t="n">
        <v>26</v>
      </c>
      <c r="M142" s="93" t="n">
        <v>5.6</v>
      </c>
      <c r="N142" s="59" t="n">
        <v>0.44</v>
      </c>
      <c r="O142" s="40" t="n">
        <v>2.8</v>
      </c>
      <c r="P142" s="40" t="n">
        <f aca="false">(D142+F142)*4.2+E142*9</f>
        <v>38.52</v>
      </c>
    </row>
    <row r="143" customFormat="false" ht="12.75" hidden="false" customHeight="false" outlineLevel="0" collapsed="false">
      <c r="A143" s="177"/>
      <c r="B143" s="75"/>
      <c r="C143" s="123" t="n">
        <f aca="false">SUM(C137:C142)</f>
        <v>745</v>
      </c>
      <c r="D143" s="76"/>
      <c r="E143" s="74"/>
      <c r="F143" s="76"/>
      <c r="G143" s="76"/>
      <c r="H143" s="59"/>
      <c r="I143" s="93"/>
      <c r="J143" s="93"/>
      <c r="K143" s="69"/>
      <c r="L143" s="93"/>
      <c r="M143" s="93"/>
      <c r="N143" s="59"/>
      <c r="P143" s="40" t="n">
        <f aca="false">(D143+F143)*4.2+E143*9</f>
        <v>0</v>
      </c>
    </row>
    <row r="144" customFormat="false" ht="12.75" hidden="false" customHeight="false" outlineLevel="0" collapsed="false">
      <c r="A144" s="173" t="s">
        <v>247</v>
      </c>
      <c r="B144" s="62" t="s">
        <v>248</v>
      </c>
      <c r="C144" s="62"/>
      <c r="D144" s="105" t="n">
        <f aca="false">D145+D152</f>
        <v>45.09</v>
      </c>
      <c r="E144" s="105" t="n">
        <f aca="false">E145+E152</f>
        <v>46.26</v>
      </c>
      <c r="F144" s="105" t="n">
        <f aca="false">F145+F152</f>
        <v>160.65</v>
      </c>
      <c r="G144" s="105" t="n">
        <f aca="false">G145+G152</f>
        <v>1282.06</v>
      </c>
      <c r="H144" s="105" t="n">
        <f aca="false">H145+H152</f>
        <v>0.6</v>
      </c>
      <c r="I144" s="105" t="n">
        <f aca="false">I145+I152</f>
        <v>71.45</v>
      </c>
      <c r="J144" s="105" t="n">
        <f aca="false">J145+J152</f>
        <v>0.34</v>
      </c>
      <c r="K144" s="105" t="n">
        <f aca="false">K145+K152</f>
        <v>281.49</v>
      </c>
      <c r="L144" s="105" t="n">
        <f aca="false">L145+L152</f>
        <v>332.28</v>
      </c>
      <c r="M144" s="105" t="n">
        <f aca="false">M145+M152</f>
        <v>76.59</v>
      </c>
      <c r="N144" s="105" t="n">
        <f aca="false">N145+N152</f>
        <v>10.55</v>
      </c>
      <c r="O144" s="106" t="n">
        <f aca="false">O145+O152</f>
        <v>160.7</v>
      </c>
      <c r="P144" s="178"/>
      <c r="Q144" s="178"/>
      <c r="R144" s="178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80"/>
    </row>
    <row r="145" customFormat="false" ht="12.75" hidden="false" customHeight="false" outlineLevel="0" collapsed="false">
      <c r="A145" s="136"/>
      <c r="B145" s="66" t="s">
        <v>18</v>
      </c>
      <c r="C145" s="66"/>
      <c r="D145" s="105" t="n">
        <f aca="false">D146+D147+D148+D149+D150</f>
        <v>24.86</v>
      </c>
      <c r="E145" s="105" t="n">
        <f aca="false">E146+E147+E148+E149+E150</f>
        <v>13.04</v>
      </c>
      <c r="F145" s="105" t="n">
        <f aca="false">F146+F147+F148+F149+F150</f>
        <v>74.82</v>
      </c>
      <c r="G145" s="105" t="n">
        <f aca="false">G146+G147+G148+G149+G150</f>
        <v>536.82</v>
      </c>
      <c r="H145" s="105" t="n">
        <f aca="false">H146+H147+H148+H150</f>
        <v>0.2</v>
      </c>
      <c r="I145" s="105" t="n">
        <f aca="false">I146+I147+I148+I150</f>
        <v>17.75</v>
      </c>
      <c r="J145" s="105" t="n">
        <f aca="false">J146+J147+J148+J150</f>
        <v>0.34</v>
      </c>
      <c r="K145" s="105" t="n">
        <f aca="false">K146+K147+K148+K150</f>
        <v>158.6</v>
      </c>
      <c r="L145" s="105" t="n">
        <f aca="false">L146+L147+L148+L150</f>
        <v>188.4</v>
      </c>
      <c r="M145" s="105" t="n">
        <f aca="false">M146+M147+M148+M150</f>
        <v>24.8</v>
      </c>
      <c r="N145" s="105" t="n">
        <f aca="false">N146+N147+N148+N150</f>
        <v>5.07</v>
      </c>
      <c r="O145" s="106" t="n">
        <f aca="false">O146+O147+O148+O150</f>
        <v>77.5</v>
      </c>
      <c r="P145" s="181" t="n">
        <f aca="false">(D145+F145)*4.2+E145*9</f>
        <v>536.016</v>
      </c>
      <c r="Q145" s="181"/>
      <c r="R145" s="181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80"/>
    </row>
    <row r="146" customFormat="false" ht="12.75" hidden="false" customHeight="false" outlineLevel="0" collapsed="false">
      <c r="A146" s="67" t="n">
        <v>110</v>
      </c>
      <c r="B146" s="68" t="s">
        <v>73</v>
      </c>
      <c r="C146" s="69" t="n">
        <v>100</v>
      </c>
      <c r="D146" s="76" t="n">
        <v>17.83</v>
      </c>
      <c r="E146" s="76" t="n">
        <v>7.99</v>
      </c>
      <c r="F146" s="76" t="n">
        <v>4.25</v>
      </c>
      <c r="G146" s="76" t="n">
        <v>165</v>
      </c>
      <c r="H146" s="69" t="n">
        <v>0.11</v>
      </c>
      <c r="I146" s="182" t="n">
        <v>1.75</v>
      </c>
      <c r="J146" s="69" t="n">
        <v>0.34</v>
      </c>
      <c r="K146" s="69" t="n">
        <v>124.93</v>
      </c>
      <c r="L146" s="69" t="n">
        <v>188.4</v>
      </c>
      <c r="M146" s="69" t="n">
        <v>24.8</v>
      </c>
      <c r="N146" s="69" t="n">
        <v>1.03</v>
      </c>
      <c r="O146" s="40" t="n">
        <v>49</v>
      </c>
      <c r="P146" s="181" t="n">
        <f aca="false">(D146+F146)*4.2+E146*9</f>
        <v>164.646</v>
      </c>
      <c r="Q146" s="155"/>
      <c r="R146" s="149"/>
      <c r="S146" s="149"/>
      <c r="T146" s="149"/>
      <c r="U146" s="149"/>
      <c r="V146" s="149"/>
      <c r="W146" s="160"/>
      <c r="X146" s="160"/>
      <c r="Y146" s="160"/>
      <c r="Z146" s="159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</row>
    <row r="147" customFormat="false" ht="12.75" hidden="false" customHeight="false" outlineLevel="0" collapsed="false">
      <c r="A147" s="94" t="s">
        <v>58</v>
      </c>
      <c r="B147" s="73" t="s">
        <v>59</v>
      </c>
      <c r="C147" s="69" t="n">
        <v>150</v>
      </c>
      <c r="D147" s="76" t="n">
        <v>3.81</v>
      </c>
      <c r="E147" s="76" t="n">
        <v>2.72</v>
      </c>
      <c r="F147" s="76" t="n">
        <v>40</v>
      </c>
      <c r="G147" s="76" t="n">
        <v>208.48</v>
      </c>
      <c r="H147" s="55"/>
      <c r="I147" s="55"/>
      <c r="J147" s="55"/>
      <c r="K147" s="69" t="n">
        <v>0.47</v>
      </c>
      <c r="L147" s="53"/>
      <c r="M147" s="53"/>
      <c r="N147" s="69" t="n">
        <v>0.04</v>
      </c>
      <c r="O147" s="40" t="n">
        <v>2.5</v>
      </c>
      <c r="P147" s="181" t="n">
        <f aca="false">(D147+F147)*4.2+E147*9</f>
        <v>208.482</v>
      </c>
      <c r="Q147" s="183"/>
      <c r="R147" s="149"/>
      <c r="S147" s="149"/>
      <c r="T147" s="149"/>
      <c r="U147" s="149"/>
      <c r="V147" s="149"/>
      <c r="W147" s="160"/>
      <c r="X147" s="159"/>
      <c r="Y147" s="159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</row>
    <row r="148" customFormat="false" ht="12.75" hidden="false" customHeight="false" outlineLevel="0" collapsed="false">
      <c r="A148" s="80" t="s">
        <v>74</v>
      </c>
      <c r="B148" s="68" t="s">
        <v>75</v>
      </c>
      <c r="C148" s="59" t="n">
        <v>20</v>
      </c>
      <c r="D148" s="76" t="n">
        <v>0.18</v>
      </c>
      <c r="E148" s="74" t="n">
        <v>2.01</v>
      </c>
      <c r="F148" s="76" t="n">
        <v>0.89</v>
      </c>
      <c r="G148" s="76" t="n">
        <v>23</v>
      </c>
      <c r="H148" s="60" t="n">
        <v>0.04</v>
      </c>
      <c r="I148" s="55"/>
      <c r="J148" s="55"/>
      <c r="K148" s="69" t="n">
        <v>7.6</v>
      </c>
      <c r="L148" s="53"/>
      <c r="M148" s="53"/>
      <c r="N148" s="59" t="n">
        <v>0.48</v>
      </c>
      <c r="O148" s="40" t="n">
        <v>4</v>
      </c>
      <c r="P148" s="181" t="n">
        <f aca="false">(D148+F148)*4.2+E148*9</f>
        <v>22.584</v>
      </c>
      <c r="Q148" s="155"/>
      <c r="R148" s="149"/>
      <c r="S148" s="149"/>
      <c r="T148" s="156"/>
      <c r="U148" s="149"/>
      <c r="V148" s="149"/>
      <c r="W148" s="160"/>
      <c r="X148" s="160"/>
      <c r="Y148" s="160"/>
      <c r="Z148" s="159"/>
      <c r="AA148" s="159"/>
      <c r="AB148" s="159"/>
      <c r="AC148" s="159"/>
      <c r="AD148" s="159"/>
      <c r="AE148" s="159"/>
      <c r="AF148" s="159"/>
      <c r="AG148" s="160"/>
      <c r="AH148" s="159"/>
      <c r="AI148" s="159"/>
      <c r="AJ148" s="160"/>
    </row>
    <row r="149" customFormat="false" ht="12.75" hidden="false" customHeight="false" outlineLevel="0" collapsed="false">
      <c r="A149" s="67" t="s">
        <v>35</v>
      </c>
      <c r="B149" s="68" t="s">
        <v>36</v>
      </c>
      <c r="C149" s="81" t="n">
        <v>200</v>
      </c>
      <c r="D149" s="76" t="n">
        <v>0</v>
      </c>
      <c r="E149" s="74" t="n">
        <v>0</v>
      </c>
      <c r="F149" s="76" t="n">
        <v>10</v>
      </c>
      <c r="G149" s="76" t="n">
        <v>42</v>
      </c>
      <c r="H149" s="60"/>
      <c r="I149" s="55"/>
      <c r="J149" s="55"/>
      <c r="K149" s="69"/>
      <c r="L149" s="53"/>
      <c r="M149" s="53"/>
      <c r="N149" s="59"/>
      <c r="P149" s="181" t="n">
        <f aca="false">(D149+F149)*4.2+E149*9</f>
        <v>42</v>
      </c>
      <c r="Q149" s="155"/>
      <c r="R149" s="149"/>
      <c r="S149" s="149"/>
      <c r="T149" s="156"/>
      <c r="U149" s="149"/>
      <c r="V149" s="149"/>
      <c r="W149" s="160"/>
      <c r="X149" s="160"/>
      <c r="Y149" s="160"/>
      <c r="Z149" s="159"/>
      <c r="AA149" s="159"/>
      <c r="AB149" s="159"/>
      <c r="AC149" s="159"/>
      <c r="AD149" s="159"/>
      <c r="AE149" s="159"/>
      <c r="AF149" s="159"/>
      <c r="AG149" s="160"/>
      <c r="AH149" s="159"/>
      <c r="AI149" s="159"/>
      <c r="AJ149" s="160"/>
    </row>
    <row r="150" customFormat="false" ht="12.75" hidden="false" customHeight="false" outlineLevel="0" collapsed="false">
      <c r="A150" s="82"/>
      <c r="B150" s="68" t="s">
        <v>28</v>
      </c>
      <c r="C150" s="83" t="n">
        <v>40</v>
      </c>
      <c r="D150" s="84" t="n">
        <v>3.04</v>
      </c>
      <c r="E150" s="85" t="n">
        <v>0.32</v>
      </c>
      <c r="F150" s="84" t="n">
        <v>19.68</v>
      </c>
      <c r="G150" s="84" t="n">
        <v>98.34</v>
      </c>
      <c r="H150" s="79" t="n">
        <v>0.05</v>
      </c>
      <c r="I150" s="60" t="n">
        <v>16</v>
      </c>
      <c r="J150" s="55"/>
      <c r="K150" s="59" t="n">
        <v>25.6</v>
      </c>
      <c r="L150" s="53"/>
      <c r="M150" s="53"/>
      <c r="N150" s="59" t="n">
        <v>3.52</v>
      </c>
      <c r="O150" s="40" t="n">
        <v>22</v>
      </c>
      <c r="P150" s="181" t="n">
        <f aca="false">(D150+F150)*4.2+E150*9</f>
        <v>98.304</v>
      </c>
      <c r="Q150" s="155"/>
      <c r="R150" s="143"/>
      <c r="S150" s="149"/>
      <c r="T150" s="143"/>
      <c r="U150" s="149"/>
      <c r="V150" s="149"/>
      <c r="W150" s="162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60"/>
      <c r="AH150" s="159"/>
      <c r="AI150" s="159"/>
      <c r="AJ150" s="162"/>
    </row>
    <row r="151" customFormat="false" ht="12.75" hidden="false" customHeight="false" outlineLevel="0" collapsed="false">
      <c r="A151" s="72"/>
      <c r="B151" s="75"/>
      <c r="C151" s="170" t="n">
        <f aca="false">SUM(C146:C150)</f>
        <v>510</v>
      </c>
      <c r="D151" s="76"/>
      <c r="E151" s="74"/>
      <c r="F151" s="76"/>
      <c r="G151" s="76"/>
      <c r="H151" s="60"/>
      <c r="I151" s="55"/>
      <c r="J151" s="55"/>
      <c r="K151" s="79"/>
      <c r="L151" s="55"/>
      <c r="M151" s="55"/>
      <c r="N151" s="60"/>
      <c r="P151" s="181" t="n">
        <f aca="false">(D151+F151)*4.2+E151*9</f>
        <v>0</v>
      </c>
      <c r="Q151" s="155"/>
      <c r="R151" s="184"/>
      <c r="S151" s="185"/>
      <c r="T151" s="186"/>
      <c r="U151" s="185"/>
      <c r="V151" s="185"/>
      <c r="W151" s="160"/>
      <c r="X151" s="162"/>
      <c r="Y151" s="162"/>
      <c r="Z151" s="159"/>
      <c r="AA151" s="159"/>
      <c r="AB151" s="159"/>
      <c r="AC151" s="159"/>
      <c r="AD151" s="159"/>
      <c r="AE151" s="159"/>
      <c r="AF151" s="159"/>
      <c r="AG151" s="162"/>
      <c r="AH151" s="159"/>
      <c r="AI151" s="159"/>
      <c r="AJ151" s="162"/>
    </row>
    <row r="152" customFormat="false" ht="12.75" hidden="false" customHeight="false" outlineLevel="0" collapsed="false">
      <c r="A152" s="72"/>
      <c r="B152" s="66" t="s">
        <v>81</v>
      </c>
      <c r="C152" s="66"/>
      <c r="D152" s="105" t="n">
        <f aca="false">D153+D154+D155+D156+D157+D158</f>
        <v>20.23</v>
      </c>
      <c r="E152" s="105" t="n">
        <f aca="false">E153+E154+E155+E156+E157+E158</f>
        <v>33.22</v>
      </c>
      <c r="F152" s="105" t="n">
        <f aca="false">F153+F154+F155+F156+F157+F158</f>
        <v>85.83</v>
      </c>
      <c r="G152" s="105" t="n">
        <f aca="false">G153+G154+G155+G156+G157+G158</f>
        <v>745.24</v>
      </c>
      <c r="H152" s="105" t="n">
        <f aca="false">H153+H154+H155+H156+H157+H158</f>
        <v>0.4</v>
      </c>
      <c r="I152" s="105" t="n">
        <f aca="false">I153+I154+I155+I156+I157+I158</f>
        <v>53.7</v>
      </c>
      <c r="J152" s="105" t="n">
        <f aca="false">J153+J154+J155+J156+J157+J158</f>
        <v>0</v>
      </c>
      <c r="K152" s="105" t="n">
        <f aca="false">K153+K154+K155+K156+K157+K158</f>
        <v>122.89</v>
      </c>
      <c r="L152" s="105" t="n">
        <f aca="false">L153+L154+L155+L156+L157+L158</f>
        <v>143.88</v>
      </c>
      <c r="M152" s="105" t="n">
        <f aca="false">M153+M154+M155+M156+M157+M158</f>
        <v>51.79</v>
      </c>
      <c r="N152" s="105" t="n">
        <f aca="false">N153+N154+N155+N156+N157+N158</f>
        <v>5.48</v>
      </c>
      <c r="O152" s="106" t="n">
        <f aca="false">O153+O154+O155+O156+O157+O158</f>
        <v>83.2</v>
      </c>
      <c r="P152" s="181" t="n">
        <f aca="false">(D152+F152)*4.2+E152*9</f>
        <v>744.432</v>
      </c>
      <c r="Q152" s="155"/>
      <c r="R152" s="184"/>
      <c r="S152" s="185"/>
      <c r="T152" s="186"/>
      <c r="U152" s="185"/>
      <c r="V152" s="185"/>
      <c r="W152" s="160"/>
      <c r="X152" s="162"/>
      <c r="Y152" s="162"/>
      <c r="Z152" s="159"/>
      <c r="AA152" s="159"/>
      <c r="AB152" s="159"/>
      <c r="AC152" s="159"/>
      <c r="AD152" s="159"/>
      <c r="AE152" s="159"/>
      <c r="AF152" s="159"/>
      <c r="AG152" s="162"/>
      <c r="AH152" s="159"/>
      <c r="AI152" s="159"/>
      <c r="AJ152" s="162"/>
    </row>
    <row r="153" customFormat="false" ht="12.75" hidden="false" customHeight="false" outlineLevel="0" collapsed="false">
      <c r="A153" s="124" t="s">
        <v>107</v>
      </c>
      <c r="B153" s="107" t="s">
        <v>108</v>
      </c>
      <c r="C153" s="93" t="n">
        <v>60</v>
      </c>
      <c r="D153" s="125" t="n">
        <v>0.74</v>
      </c>
      <c r="E153" s="125" t="n">
        <v>0.06</v>
      </c>
      <c r="F153" s="125" t="n">
        <v>6.92</v>
      </c>
      <c r="G153" s="125" t="n">
        <v>33</v>
      </c>
      <c r="H153" s="79" t="n">
        <v>0.04</v>
      </c>
      <c r="I153" s="79" t="n">
        <v>15</v>
      </c>
      <c r="J153" s="77"/>
      <c r="K153" s="79" t="n">
        <v>8.4</v>
      </c>
      <c r="L153" s="79"/>
      <c r="M153" s="79"/>
      <c r="N153" s="79" t="n">
        <v>0.54</v>
      </c>
      <c r="O153" s="40" t="n">
        <v>10.9</v>
      </c>
      <c r="P153" s="181" t="n">
        <f aca="false">(D153+F153)*4.2+E153*9</f>
        <v>32.712</v>
      </c>
      <c r="Q153" s="155"/>
      <c r="R153" s="184"/>
      <c r="S153" s="185"/>
      <c r="T153" s="186"/>
      <c r="U153" s="185"/>
      <c r="V153" s="185"/>
      <c r="W153" s="160"/>
      <c r="X153" s="162"/>
      <c r="Y153" s="162"/>
      <c r="Z153" s="159"/>
      <c r="AA153" s="159"/>
      <c r="AB153" s="159"/>
      <c r="AC153" s="159"/>
      <c r="AD153" s="159"/>
      <c r="AE153" s="159"/>
      <c r="AF153" s="159"/>
      <c r="AG153" s="162"/>
      <c r="AH153" s="159"/>
      <c r="AI153" s="159"/>
      <c r="AJ153" s="162"/>
    </row>
    <row r="154" customFormat="false" ht="12.75" hidden="false" customHeight="false" outlineLevel="0" collapsed="false">
      <c r="A154" s="99" t="s">
        <v>130</v>
      </c>
      <c r="B154" s="73" t="s">
        <v>249</v>
      </c>
      <c r="C154" s="59" t="n">
        <v>200</v>
      </c>
      <c r="D154" s="74" t="n">
        <f aca="false">5.81-0.9</f>
        <v>4.91</v>
      </c>
      <c r="E154" s="74" t="n">
        <f aca="false">11.82-0.81</f>
        <v>11.01</v>
      </c>
      <c r="F154" s="74" t="n">
        <f aca="false">15.48-0.05</f>
        <v>15.43</v>
      </c>
      <c r="G154" s="74" t="n">
        <f aca="false">196-11.17</f>
        <v>184.83</v>
      </c>
      <c r="H154" s="74" t="s">
        <v>171</v>
      </c>
      <c r="I154" s="74" t="s">
        <v>218</v>
      </c>
      <c r="J154" s="77"/>
      <c r="K154" s="74" t="s">
        <v>219</v>
      </c>
      <c r="L154" s="74" t="s">
        <v>220</v>
      </c>
      <c r="M154" s="74" t="s">
        <v>221</v>
      </c>
      <c r="N154" s="74" t="s">
        <v>222</v>
      </c>
      <c r="O154" s="40" t="n">
        <v>9.6</v>
      </c>
      <c r="P154" s="181" t="n">
        <f aca="false">(D154+F154)*4.2+E154*9</f>
        <v>184.518</v>
      </c>
      <c r="Q154" s="155"/>
      <c r="R154" s="184"/>
      <c r="S154" s="185"/>
      <c r="T154" s="186"/>
      <c r="U154" s="185"/>
      <c r="V154" s="185"/>
      <c r="W154" s="160"/>
      <c r="X154" s="162"/>
      <c r="Y154" s="162"/>
      <c r="Z154" s="159"/>
      <c r="AA154" s="159"/>
      <c r="AB154" s="159"/>
      <c r="AC154" s="159"/>
      <c r="AD154" s="159"/>
      <c r="AE154" s="159"/>
      <c r="AF154" s="159"/>
      <c r="AG154" s="162"/>
      <c r="AH154" s="159"/>
      <c r="AI154" s="159"/>
      <c r="AJ154" s="162"/>
    </row>
    <row r="155" customFormat="false" ht="12.75" hidden="false" customHeight="false" outlineLevel="0" collapsed="false">
      <c r="A155" s="72" t="n">
        <v>298</v>
      </c>
      <c r="B155" s="73" t="s">
        <v>50</v>
      </c>
      <c r="C155" s="59" t="n">
        <v>105</v>
      </c>
      <c r="D155" s="74" t="n">
        <v>6.14</v>
      </c>
      <c r="E155" s="74" t="n">
        <v>11.91</v>
      </c>
      <c r="F155" s="74" t="n">
        <v>10.92</v>
      </c>
      <c r="G155" s="74" t="n">
        <v>178.84</v>
      </c>
      <c r="H155" s="74" t="s">
        <v>194</v>
      </c>
      <c r="I155" s="74" t="s">
        <v>212</v>
      </c>
      <c r="J155" s="77"/>
      <c r="K155" s="74" t="s">
        <v>213</v>
      </c>
      <c r="L155" s="74" t="s">
        <v>214</v>
      </c>
      <c r="M155" s="74" t="s">
        <v>215</v>
      </c>
      <c r="N155" s="74" t="s">
        <v>216</v>
      </c>
      <c r="O155" s="40" t="n">
        <v>35.7</v>
      </c>
      <c r="P155" s="181" t="n">
        <f aca="false">(D155+F155)*4.2+E155*9</f>
        <v>178.842</v>
      </c>
      <c r="Q155" s="155"/>
      <c r="R155" s="184"/>
      <c r="S155" s="185"/>
      <c r="T155" s="186"/>
      <c r="U155" s="185"/>
      <c r="V155" s="185"/>
      <c r="W155" s="160"/>
      <c r="X155" s="162"/>
      <c r="Y155" s="162"/>
      <c r="Z155" s="159"/>
      <c r="AA155" s="159"/>
      <c r="AB155" s="159"/>
      <c r="AC155" s="159"/>
      <c r="AD155" s="159"/>
      <c r="AE155" s="159"/>
      <c r="AF155" s="159"/>
      <c r="AG155" s="162"/>
      <c r="AH155" s="159"/>
      <c r="AI155" s="159"/>
      <c r="AJ155" s="162"/>
    </row>
    <row r="156" customFormat="false" ht="12" hidden="false" customHeight="true" outlineLevel="0" collapsed="false">
      <c r="A156" s="121" t="s">
        <v>132</v>
      </c>
      <c r="B156" s="68" t="s">
        <v>133</v>
      </c>
      <c r="C156" s="69" t="n">
        <v>150</v>
      </c>
      <c r="D156" s="76" t="n">
        <v>5.77</v>
      </c>
      <c r="E156" s="76" t="n">
        <v>10.08</v>
      </c>
      <c r="F156" s="76" t="n">
        <v>30.69</v>
      </c>
      <c r="G156" s="76" t="n">
        <v>244</v>
      </c>
      <c r="H156" s="69" t="n">
        <v>0.08</v>
      </c>
      <c r="I156" s="69" t="n">
        <v>17.8</v>
      </c>
      <c r="J156" s="93"/>
      <c r="K156" s="69" t="n">
        <v>53.08</v>
      </c>
      <c r="L156" s="69" t="n">
        <v>64.28</v>
      </c>
      <c r="M156" s="69" t="n">
        <v>23.23</v>
      </c>
      <c r="N156" s="69" t="n">
        <v>0.86</v>
      </c>
      <c r="O156" s="40" t="n">
        <v>17</v>
      </c>
      <c r="P156" s="181" t="n">
        <f aca="false">(D156+F156)*4.2+E156*9</f>
        <v>243.852</v>
      </c>
      <c r="Q156" s="155"/>
      <c r="R156" s="184"/>
      <c r="S156" s="185"/>
      <c r="T156" s="186"/>
      <c r="U156" s="185"/>
      <c r="V156" s="185"/>
      <c r="W156" s="160"/>
      <c r="X156" s="162"/>
      <c r="Y156" s="162"/>
      <c r="Z156" s="159"/>
      <c r="AA156" s="159"/>
      <c r="AB156" s="159"/>
      <c r="AC156" s="159"/>
      <c r="AD156" s="159"/>
      <c r="AE156" s="159"/>
      <c r="AF156" s="159"/>
      <c r="AG156" s="162"/>
      <c r="AH156" s="159"/>
      <c r="AI156" s="159"/>
      <c r="AJ156" s="162"/>
    </row>
    <row r="157" customFormat="false" ht="12.75" hidden="false" customHeight="false" outlineLevel="0" collapsed="false">
      <c r="A157" s="132" t="s">
        <v>42</v>
      </c>
      <c r="B157" s="68" t="s">
        <v>70</v>
      </c>
      <c r="C157" s="69" t="n">
        <v>200</v>
      </c>
      <c r="D157" s="76" t="n">
        <v>1.15</v>
      </c>
      <c r="E157" s="133"/>
      <c r="F157" s="76" t="n">
        <v>12.03</v>
      </c>
      <c r="G157" s="76" t="n">
        <v>55.4</v>
      </c>
      <c r="H157" s="74" t="s">
        <v>200</v>
      </c>
      <c r="I157" s="76" t="s">
        <v>201</v>
      </c>
      <c r="J157" s="77"/>
      <c r="K157" s="76" t="s">
        <v>202</v>
      </c>
      <c r="L157" s="77"/>
      <c r="M157" s="77"/>
      <c r="N157" s="74" t="s">
        <v>203</v>
      </c>
      <c r="O157" s="40" t="n">
        <v>7</v>
      </c>
      <c r="P157" s="181" t="n">
        <f aca="false">(D157+F157)*4.2+E157*9</f>
        <v>55.356</v>
      </c>
      <c r="Q157" s="155"/>
      <c r="R157" s="184"/>
      <c r="S157" s="185"/>
      <c r="T157" s="186"/>
      <c r="U157" s="185"/>
      <c r="V157" s="185"/>
      <c r="W157" s="160"/>
      <c r="X157" s="162"/>
      <c r="Y157" s="162"/>
      <c r="Z157" s="159"/>
      <c r="AA157" s="159"/>
      <c r="AB157" s="159"/>
      <c r="AC157" s="159"/>
      <c r="AD157" s="159"/>
      <c r="AE157" s="159"/>
      <c r="AF157" s="159"/>
      <c r="AG157" s="162"/>
      <c r="AH157" s="159"/>
      <c r="AI157" s="159"/>
      <c r="AJ157" s="162"/>
    </row>
    <row r="158" customFormat="false" ht="12.75" hidden="false" customHeight="false" outlineLevel="0" collapsed="false">
      <c r="A158" s="80"/>
      <c r="B158" s="134" t="s">
        <v>28</v>
      </c>
      <c r="C158" s="59" t="n">
        <v>20</v>
      </c>
      <c r="D158" s="76" t="n">
        <v>1.52</v>
      </c>
      <c r="E158" s="74" t="n">
        <v>0.16</v>
      </c>
      <c r="F158" s="76" t="n">
        <v>9.84</v>
      </c>
      <c r="G158" s="76" t="n">
        <v>49.17</v>
      </c>
      <c r="H158" s="74" t="n">
        <v>0.04</v>
      </c>
      <c r="I158" s="77"/>
      <c r="J158" s="77"/>
      <c r="K158" s="76" t="n">
        <v>7.25</v>
      </c>
      <c r="L158" s="77" t="n">
        <v>32.5</v>
      </c>
      <c r="M158" s="77" t="n">
        <v>10.5</v>
      </c>
      <c r="N158" s="74" t="n">
        <v>0.9</v>
      </c>
      <c r="O158" s="40" t="n">
        <v>3</v>
      </c>
      <c r="P158" s="181" t="n">
        <f aca="false">(D158+F158)*4.2+E158*9</f>
        <v>49.152</v>
      </c>
      <c r="Q158" s="155"/>
      <c r="R158" s="184"/>
      <c r="S158" s="185"/>
      <c r="T158" s="186"/>
      <c r="U158" s="185"/>
      <c r="V158" s="185"/>
      <c r="W158" s="160"/>
      <c r="X158" s="162"/>
      <c r="Y158" s="162"/>
      <c r="Z158" s="159"/>
      <c r="AA158" s="159"/>
      <c r="AB158" s="159"/>
      <c r="AC158" s="159"/>
      <c r="AD158" s="159"/>
      <c r="AE158" s="159"/>
      <c r="AF158" s="159"/>
      <c r="AG158" s="162"/>
      <c r="AH158" s="159"/>
      <c r="AI158" s="159"/>
      <c r="AJ158" s="162"/>
    </row>
    <row r="159" customFormat="false" ht="12.75" hidden="false" customHeight="false" outlineLevel="0" collapsed="false">
      <c r="A159" s="72"/>
      <c r="B159" s="187"/>
      <c r="C159" s="188" t="n">
        <f aca="false">SUM(C153:C158)</f>
        <v>735</v>
      </c>
      <c r="D159" s="189"/>
      <c r="E159" s="189"/>
      <c r="F159" s="189"/>
      <c r="G159" s="189"/>
      <c r="H159" s="187"/>
      <c r="I159" s="187"/>
      <c r="J159" s="187"/>
      <c r="K159" s="187"/>
      <c r="L159" s="187"/>
      <c r="M159" s="187"/>
      <c r="N159" s="187"/>
      <c r="P159" s="181" t="n">
        <f aca="false">(D159+F159)*4.2+E159*9</f>
        <v>0</v>
      </c>
      <c r="Q159" s="155"/>
      <c r="R159" s="184"/>
      <c r="S159" s="185"/>
      <c r="T159" s="186"/>
      <c r="U159" s="185"/>
      <c r="V159" s="185"/>
      <c r="W159" s="160"/>
      <c r="X159" s="162"/>
      <c r="Y159" s="162"/>
      <c r="Z159" s="159"/>
      <c r="AA159" s="159"/>
      <c r="AB159" s="159"/>
      <c r="AC159" s="159"/>
      <c r="AD159" s="159"/>
      <c r="AE159" s="159"/>
      <c r="AF159" s="159"/>
      <c r="AG159" s="162"/>
      <c r="AH159" s="159"/>
      <c r="AI159" s="159"/>
      <c r="AJ159" s="162"/>
    </row>
  </sheetData>
  <mergeCells count="36">
    <mergeCell ref="C1:J2"/>
    <mergeCell ref="D3:F3"/>
    <mergeCell ref="G3:G4"/>
    <mergeCell ref="H3:I3"/>
    <mergeCell ref="K3:N3"/>
    <mergeCell ref="B6:C6"/>
    <mergeCell ref="B7:C7"/>
    <mergeCell ref="B17:C17"/>
    <mergeCell ref="B24:C24"/>
    <mergeCell ref="B25:C25"/>
    <mergeCell ref="B31:C31"/>
    <mergeCell ref="B39:C39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A98:C98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P144:R144"/>
    <mergeCell ref="B145:C145"/>
    <mergeCell ref="B152:C152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1:AK161"/>
  <sheetViews>
    <sheetView showFormulas="false" showGridLines="true" showRowColHeaders="true" showZeros="true" rightToLeft="false" tabSelected="false" showOutlineSymbols="true" defaultGridColor="true" view="normal" topLeftCell="A1" colorId="64" zoomScale="136" zoomScaleNormal="136" zoomScalePageLayoutView="100" workbookViewId="0">
      <selection pane="topLeft" activeCell="B2" activeCellId="0" sqref="B2"/>
    </sheetView>
  </sheetViews>
  <sheetFormatPr defaultColWidth="9.15625" defaultRowHeight="12.75" zeroHeight="false" outlineLevelRow="0" outlineLevelCol="0"/>
  <cols>
    <col collapsed="false" customWidth="true" hidden="false" outlineLevel="0" max="1" min="1" style="39" width="10.99"/>
    <col collapsed="false" customWidth="true" hidden="false" outlineLevel="0" max="2" min="2" style="40" width="32.86"/>
    <col collapsed="false" customWidth="true" hidden="false" outlineLevel="0" max="3" min="3" style="40" width="7.86"/>
    <col collapsed="false" customWidth="true" hidden="false" outlineLevel="0" max="4" min="4" style="40" width="7.29"/>
    <col collapsed="false" customWidth="true" hidden="false" outlineLevel="0" max="5" min="5" style="40" width="7.71"/>
    <col collapsed="false" customWidth="true" hidden="false" outlineLevel="0" max="6" min="6" style="40" width="7.42"/>
    <col collapsed="false" customWidth="true" hidden="false" outlineLevel="0" max="7" min="7" style="40" width="8.57"/>
    <col collapsed="false" customWidth="true" hidden="true" outlineLevel="0" max="8" min="8" style="40" width="5.57"/>
    <col collapsed="false" customWidth="true" hidden="true" outlineLevel="0" max="9" min="9" style="40" width="6.57"/>
    <col collapsed="false" customWidth="true" hidden="true" outlineLevel="0" max="10" min="10" style="40" width="7.42"/>
    <col collapsed="false" customWidth="true" hidden="true" outlineLevel="0" max="11" min="11" style="40" width="7"/>
    <col collapsed="false" customWidth="true" hidden="true" outlineLevel="0" max="12" min="12" style="40" width="6.71"/>
    <col collapsed="false" customWidth="true" hidden="true" outlineLevel="0" max="13" min="13" style="40" width="6.28"/>
    <col collapsed="false" customWidth="true" hidden="true" outlineLevel="0" max="14" min="14" style="40" width="5.86"/>
    <col collapsed="false" customWidth="false" hidden="true" outlineLevel="0" max="16" min="15" style="40" width="9.14"/>
    <col collapsed="false" customWidth="true" hidden="true" outlineLevel="0" max="17" min="17" style="40" width="14.28"/>
    <col collapsed="false" customWidth="true" hidden="true" outlineLevel="0" max="18" min="18" style="40" width="11.52"/>
    <col collapsed="false" customWidth="false" hidden="false" outlineLevel="0" max="1024" min="19" style="40" width="9.14"/>
  </cols>
  <sheetData>
    <row r="1" customFormat="false" ht="12.75" hidden="false" customHeight="false" outlineLevel="0" collapsed="false">
      <c r="B1" s="40" t="s">
        <v>250</v>
      </c>
      <c r="C1" s="41" t="s">
        <v>148</v>
      </c>
      <c r="D1" s="41"/>
      <c r="E1" s="41"/>
      <c r="F1" s="41"/>
      <c r="G1" s="41"/>
      <c r="H1" s="41"/>
      <c r="I1" s="41"/>
      <c r="J1" s="41"/>
    </row>
    <row r="2" customFormat="false" ht="12.75" hidden="false" customHeight="false" outlineLevel="0" collapsed="false">
      <c r="B2" s="40" t="s">
        <v>251</v>
      </c>
      <c r="C2" s="41"/>
      <c r="D2" s="41"/>
      <c r="E2" s="41"/>
      <c r="F2" s="41"/>
      <c r="G2" s="41"/>
      <c r="H2" s="41"/>
      <c r="I2" s="41"/>
      <c r="J2" s="41"/>
    </row>
    <row r="3" customFormat="false" ht="33.75" hidden="false" customHeight="true" outlineLevel="0" collapsed="false">
      <c r="A3" s="42" t="s">
        <v>150</v>
      </c>
      <c r="B3" s="43" t="s">
        <v>151</v>
      </c>
      <c r="C3" s="44" t="s">
        <v>152</v>
      </c>
      <c r="D3" s="45" t="s">
        <v>153</v>
      </c>
      <c r="E3" s="45"/>
      <c r="F3" s="45"/>
      <c r="G3" s="46" t="s">
        <v>6</v>
      </c>
      <c r="H3" s="47" t="s">
        <v>154</v>
      </c>
      <c r="I3" s="47"/>
      <c r="J3" s="47" t="s">
        <v>155</v>
      </c>
      <c r="K3" s="48" t="s">
        <v>156</v>
      </c>
      <c r="L3" s="48"/>
      <c r="M3" s="48"/>
      <c r="N3" s="48"/>
    </row>
    <row r="4" customFormat="false" ht="34.5" hidden="false" customHeight="true" outlineLevel="0" collapsed="false">
      <c r="A4" s="49" t="s">
        <v>157</v>
      </c>
      <c r="B4" s="50" t="s">
        <v>158</v>
      </c>
      <c r="C4" s="51" t="s">
        <v>159</v>
      </c>
      <c r="D4" s="52" t="s">
        <v>7</v>
      </c>
      <c r="E4" s="52" t="s">
        <v>8</v>
      </c>
      <c r="F4" s="53" t="s">
        <v>9</v>
      </c>
      <c r="G4" s="46"/>
      <c r="H4" s="54" t="s">
        <v>160</v>
      </c>
      <c r="I4" s="55" t="s">
        <v>161</v>
      </c>
      <c r="J4" s="56" t="s">
        <v>162</v>
      </c>
      <c r="K4" s="54" t="s">
        <v>163</v>
      </c>
      <c r="L4" s="54" t="s">
        <v>164</v>
      </c>
      <c r="M4" s="54" t="s">
        <v>165</v>
      </c>
      <c r="N4" s="54" t="s">
        <v>166</v>
      </c>
    </row>
    <row r="5" customFormat="false" ht="12.75" hidden="false" customHeight="false" outlineLevel="0" collapsed="false">
      <c r="A5" s="57" t="s">
        <v>10</v>
      </c>
      <c r="B5" s="58" t="s">
        <v>11</v>
      </c>
      <c r="C5" s="59" t="s">
        <v>12</v>
      </c>
      <c r="D5" s="58" t="s">
        <v>13</v>
      </c>
      <c r="E5" s="59" t="s">
        <v>14</v>
      </c>
      <c r="F5" s="59" t="s">
        <v>15</v>
      </c>
      <c r="G5" s="59" t="s">
        <v>16</v>
      </c>
      <c r="H5" s="60" t="s">
        <v>167</v>
      </c>
      <c r="I5" s="60" t="s">
        <v>168</v>
      </c>
      <c r="J5" s="60" t="n">
        <v>11</v>
      </c>
      <c r="K5" s="60" t="n">
        <v>18</v>
      </c>
      <c r="L5" s="60" t="n">
        <v>19</v>
      </c>
      <c r="M5" s="60" t="n">
        <v>20</v>
      </c>
      <c r="N5" s="60" t="n">
        <v>21</v>
      </c>
    </row>
    <row r="6" customFormat="false" ht="12.75" hidden="false" customHeight="false" outlineLevel="0" collapsed="false">
      <c r="A6" s="61" t="s">
        <v>169</v>
      </c>
      <c r="B6" s="62" t="s">
        <v>170</v>
      </c>
      <c r="C6" s="62"/>
      <c r="D6" s="63" t="n">
        <f aca="false">D7+D17</f>
        <v>46.0329</v>
      </c>
      <c r="E6" s="63" t="n">
        <f aca="false">E7+E17</f>
        <v>55.8821</v>
      </c>
      <c r="F6" s="63" t="n">
        <f aca="false">F7+F17</f>
        <v>208.61605</v>
      </c>
      <c r="G6" s="63" t="n">
        <f aca="false">G7+G17</f>
        <v>1576.0575</v>
      </c>
      <c r="H6" s="63" t="n">
        <f aca="false">H7+H17</f>
        <v>0.55</v>
      </c>
      <c r="I6" s="63" t="n">
        <f aca="false">I7+I17</f>
        <v>41.79</v>
      </c>
      <c r="J6" s="63" t="n">
        <f aca="false">J7+J17</f>
        <v>20</v>
      </c>
      <c r="K6" s="63" t="n">
        <f aca="false">K7+K17</f>
        <v>471.98</v>
      </c>
      <c r="L6" s="63" t="n">
        <f aca="false">L7+L17</f>
        <v>138.25</v>
      </c>
      <c r="M6" s="63" t="n">
        <f aca="false">M7+M17</f>
        <v>86.35</v>
      </c>
      <c r="N6" s="63" t="n">
        <f aca="false">N7+N17</f>
        <v>10.61</v>
      </c>
      <c r="O6" s="64" t="n">
        <f aca="false">O7+O17</f>
        <v>139.3</v>
      </c>
    </row>
    <row r="7" customFormat="false" ht="12.75" hidden="false" customHeight="false" outlineLevel="0" collapsed="false">
      <c r="A7" s="65"/>
      <c r="B7" s="66" t="s">
        <v>18</v>
      </c>
      <c r="C7" s="66"/>
      <c r="D7" s="63" t="n">
        <f aca="false">D8+D9+D10+D11+D12+D13</f>
        <v>19.1925</v>
      </c>
      <c r="E7" s="63" t="n">
        <f aca="false">E8+E9+E10+E11+E12+E13</f>
        <v>26.0825</v>
      </c>
      <c r="F7" s="63" t="n">
        <f aca="false">F8+F9+F10+F11+F12+F13</f>
        <v>105.5475</v>
      </c>
      <c r="G7" s="63" t="n">
        <f aca="false">G8+G9+G10+G11+G12+G13</f>
        <v>759.97</v>
      </c>
      <c r="H7" s="63" t="n">
        <f aca="false">H11+H12+H13+H14+H15</f>
        <v>0.3</v>
      </c>
      <c r="I7" s="63" t="n">
        <f aca="false">I11+I12+I13+I14+I15</f>
        <v>18.31</v>
      </c>
      <c r="J7" s="63" t="n">
        <f aca="false">J11+J12+J13+J14+J15</f>
        <v>20</v>
      </c>
      <c r="K7" s="63" t="n">
        <f aca="false">K11+K12+K13+K14+K15</f>
        <v>347.5</v>
      </c>
      <c r="L7" s="63" t="n">
        <f aca="false">L11+L12+L13+L14+L15</f>
        <v>2.87</v>
      </c>
      <c r="M7" s="63" t="n">
        <f aca="false">M11+M12+M13+M14+M15</f>
        <v>40.04</v>
      </c>
      <c r="N7" s="63" t="n">
        <f aca="false">N11+N12+N13+N14+N15</f>
        <v>5.79</v>
      </c>
      <c r="O7" s="64" t="n">
        <f aca="false">O11+O12+O13+O14+O15</f>
        <v>69.7</v>
      </c>
      <c r="Q7" s="40" t="n">
        <v>470</v>
      </c>
    </row>
    <row r="8" customFormat="false" ht="12.75" hidden="false" customHeight="false" outlineLevel="0" collapsed="false">
      <c r="A8" s="67" t="s">
        <v>19</v>
      </c>
      <c r="B8" s="75" t="s">
        <v>20</v>
      </c>
      <c r="C8" s="69" t="n">
        <v>10</v>
      </c>
      <c r="D8" s="70" t="n">
        <v>2.6</v>
      </c>
      <c r="E8" s="70" t="n">
        <v>2.65</v>
      </c>
      <c r="F8" s="70" t="n">
        <v>0.35</v>
      </c>
      <c r="G8" s="70" t="n">
        <v>36.24</v>
      </c>
      <c r="H8" s="63"/>
      <c r="I8" s="63"/>
      <c r="J8" s="63"/>
      <c r="K8" s="63"/>
      <c r="L8" s="63"/>
      <c r="M8" s="63"/>
      <c r="N8" s="63"/>
      <c r="O8" s="71"/>
      <c r="P8" s="40" t="n">
        <f aca="false">(D8+F8)*4.2+E8*9</f>
        <v>36.24</v>
      </c>
    </row>
    <row r="9" customFormat="false" ht="12.75" hidden="false" customHeight="false" outlineLevel="0" collapsed="false">
      <c r="A9" s="67" t="s">
        <v>21</v>
      </c>
      <c r="B9" s="75" t="s">
        <v>22</v>
      </c>
      <c r="C9" s="69" t="n">
        <v>5</v>
      </c>
      <c r="D9" s="70" t="n">
        <v>0.05</v>
      </c>
      <c r="E9" s="70" t="n">
        <v>3.63</v>
      </c>
      <c r="F9" s="70" t="n">
        <v>0.07</v>
      </c>
      <c r="G9" s="70" t="n">
        <v>33.11</v>
      </c>
      <c r="H9" s="63"/>
      <c r="I9" s="63"/>
      <c r="J9" s="63"/>
      <c r="K9" s="63"/>
      <c r="L9" s="63"/>
      <c r="M9" s="63"/>
      <c r="N9" s="63"/>
      <c r="O9" s="71"/>
      <c r="P9" s="40" t="n">
        <f aca="false">(D9+F9)*4.2+E9*9</f>
        <v>33.174</v>
      </c>
    </row>
    <row r="10" customFormat="false" ht="24" hidden="false" customHeight="false" outlineLevel="0" collapsed="false">
      <c r="A10" s="72" t="s">
        <v>23</v>
      </c>
      <c r="B10" s="73" t="s">
        <v>24</v>
      </c>
      <c r="C10" s="59" t="n">
        <v>255</v>
      </c>
      <c r="D10" s="74" t="n">
        <f aca="false">6.81*1.25</f>
        <v>8.5125</v>
      </c>
      <c r="E10" s="74" t="n">
        <f aca="false">10.45*1.25</f>
        <v>13.0625</v>
      </c>
      <c r="F10" s="74" t="n">
        <f aca="false">29.51*1.25</f>
        <v>36.8875</v>
      </c>
      <c r="G10" s="74" t="n">
        <f aca="false">246.6*1.25</f>
        <v>308.25</v>
      </c>
      <c r="H10" s="63"/>
      <c r="I10" s="63"/>
      <c r="J10" s="63"/>
      <c r="K10" s="63"/>
      <c r="L10" s="63"/>
      <c r="M10" s="63"/>
      <c r="N10" s="63"/>
      <c r="O10" s="71"/>
      <c r="P10" s="40" t="n">
        <f aca="false">(D10+F10)*4.2+E10*9</f>
        <v>308.2425</v>
      </c>
    </row>
    <row r="11" customFormat="false" ht="12.75" hidden="false" customHeight="false" outlineLevel="0" collapsed="false">
      <c r="A11" s="72"/>
      <c r="B11" s="75" t="s">
        <v>60</v>
      </c>
      <c r="C11" s="69" t="n">
        <v>40</v>
      </c>
      <c r="D11" s="76" t="n">
        <f aca="false">1.5*3/1.5</f>
        <v>3</v>
      </c>
      <c r="E11" s="77" t="n">
        <f aca="false">2.36*3/1.5</f>
        <v>4.72</v>
      </c>
      <c r="F11" s="76" t="n">
        <f aca="false">14.98*3/1.5</f>
        <v>29.96</v>
      </c>
      <c r="G11" s="76" t="n">
        <f aca="false">91*3/1.5</f>
        <v>182</v>
      </c>
      <c r="H11" s="78" t="s">
        <v>171</v>
      </c>
      <c r="I11" s="78" t="s">
        <v>172</v>
      </c>
      <c r="J11" s="78" t="s">
        <v>173</v>
      </c>
      <c r="K11" s="78" t="s">
        <v>174</v>
      </c>
      <c r="L11" s="78" t="s">
        <v>175</v>
      </c>
      <c r="M11" s="78" t="s">
        <v>176</v>
      </c>
      <c r="N11" s="78" t="s">
        <v>177</v>
      </c>
      <c r="O11" s="40" t="n">
        <v>15</v>
      </c>
      <c r="P11" s="40" t="n">
        <f aca="false">(D11+F11)*4.2+E11*9</f>
        <v>180.912</v>
      </c>
    </row>
    <row r="12" customFormat="false" ht="12.75" hidden="false" customHeight="false" outlineLevel="0" collapsed="false">
      <c r="A12" s="72" t="s">
        <v>26</v>
      </c>
      <c r="B12" s="190" t="s">
        <v>27</v>
      </c>
      <c r="C12" s="59" t="n">
        <v>200</v>
      </c>
      <c r="D12" s="74" t="n">
        <v>1.99</v>
      </c>
      <c r="E12" s="74" t="n">
        <v>1.7</v>
      </c>
      <c r="F12" s="74" t="n">
        <v>18.6</v>
      </c>
      <c r="G12" s="74" t="n">
        <v>102.03</v>
      </c>
      <c r="H12" s="60" t="n">
        <v>0.03</v>
      </c>
      <c r="I12" s="60" t="n">
        <v>0.65</v>
      </c>
      <c r="J12" s="55"/>
      <c r="K12" s="60" t="n">
        <v>64.43</v>
      </c>
      <c r="L12" s="55"/>
      <c r="M12" s="55"/>
      <c r="N12" s="60" t="n">
        <v>0.4</v>
      </c>
      <c r="O12" s="40" t="n">
        <v>7.7</v>
      </c>
      <c r="P12" s="40" t="n">
        <f aca="false">(D12+F12)*4.2+E12*9</f>
        <v>101.778</v>
      </c>
    </row>
    <row r="13" customFormat="false" ht="12.75" hidden="false" customHeight="false" outlineLevel="0" collapsed="false">
      <c r="A13" s="67"/>
      <c r="B13" s="75" t="s">
        <v>28</v>
      </c>
      <c r="C13" s="69" t="n">
        <v>40</v>
      </c>
      <c r="D13" s="76" t="n">
        <v>3.04</v>
      </c>
      <c r="E13" s="76" t="n">
        <v>0.32</v>
      </c>
      <c r="F13" s="76" t="n">
        <v>19.68</v>
      </c>
      <c r="G13" s="76" t="n">
        <v>98.34</v>
      </c>
      <c r="H13" s="55"/>
      <c r="I13" s="79" t="n">
        <v>0.28</v>
      </c>
      <c r="J13" s="55"/>
      <c r="K13" s="79" t="n">
        <v>100.5</v>
      </c>
      <c r="L13" s="55"/>
      <c r="M13" s="55"/>
      <c r="N13" s="79" t="n">
        <v>0.09</v>
      </c>
      <c r="O13" s="40" t="n">
        <v>9</v>
      </c>
      <c r="P13" s="40" t="n">
        <f aca="false">(D13+F13)*4.2+E13*9</f>
        <v>98.304</v>
      </c>
    </row>
    <row r="14" customFormat="false" ht="12.75" hidden="true" customHeight="false" outlineLevel="0" collapsed="false">
      <c r="A14" s="80"/>
      <c r="B14" s="75"/>
      <c r="C14" s="81"/>
      <c r="D14" s="76"/>
      <c r="E14" s="74"/>
      <c r="F14" s="76"/>
      <c r="G14" s="76"/>
      <c r="H14" s="60" t="n">
        <v>0.04</v>
      </c>
      <c r="I14" s="55"/>
      <c r="J14" s="55"/>
      <c r="K14" s="79" t="n">
        <v>7.6</v>
      </c>
      <c r="L14" s="55"/>
      <c r="M14" s="55"/>
      <c r="N14" s="60" t="n">
        <v>0.48</v>
      </c>
      <c r="O14" s="40" t="n">
        <v>4</v>
      </c>
      <c r="P14" s="40" t="n">
        <f aca="false">(D14+F14)*4.2+E14*9</f>
        <v>0</v>
      </c>
    </row>
    <row r="15" customFormat="false" ht="12.75" hidden="true" customHeight="false" outlineLevel="0" collapsed="false">
      <c r="A15" s="82"/>
      <c r="B15" s="75"/>
      <c r="C15" s="83"/>
      <c r="D15" s="84"/>
      <c r="E15" s="85"/>
      <c r="F15" s="84"/>
      <c r="G15" s="84"/>
      <c r="H15" s="79" t="n">
        <v>0.05</v>
      </c>
      <c r="I15" s="60" t="n">
        <v>16</v>
      </c>
      <c r="J15" s="55"/>
      <c r="K15" s="60" t="n">
        <v>25.6</v>
      </c>
      <c r="L15" s="55"/>
      <c r="M15" s="55"/>
      <c r="N15" s="60" t="n">
        <v>3.52</v>
      </c>
      <c r="O15" s="40" t="n">
        <v>34</v>
      </c>
      <c r="P15" s="40" t="n">
        <f aca="false">(D15+F15)*4.2+E15*9</f>
        <v>0</v>
      </c>
    </row>
    <row r="16" customFormat="false" ht="12.75" hidden="false" customHeight="false" outlineLevel="0" collapsed="false">
      <c r="A16" s="82"/>
      <c r="B16" s="75"/>
      <c r="C16" s="86" t="n">
        <f aca="false">SUM(C8:C15)</f>
        <v>550</v>
      </c>
      <c r="D16" s="84"/>
      <c r="E16" s="85"/>
      <c r="F16" s="84"/>
      <c r="G16" s="84"/>
      <c r="H16" s="79"/>
      <c r="I16" s="60"/>
      <c r="J16" s="55"/>
      <c r="K16" s="60"/>
      <c r="L16" s="55"/>
      <c r="M16" s="55"/>
      <c r="N16" s="60"/>
      <c r="P16" s="40" t="n">
        <f aca="false">(D16+F16)*4.2+E16*9</f>
        <v>0</v>
      </c>
    </row>
    <row r="17" customFormat="false" ht="12.75" hidden="false" customHeight="false" outlineLevel="0" collapsed="false">
      <c r="A17" s="87"/>
      <c r="B17" s="191" t="s">
        <v>81</v>
      </c>
      <c r="C17" s="192"/>
      <c r="D17" s="88" t="n">
        <f aca="false">D18+D19+D20+D21+D22</f>
        <v>26.8404</v>
      </c>
      <c r="E17" s="88" t="n">
        <f aca="false">E18+E19+E20+E21+E22</f>
        <v>29.7996</v>
      </c>
      <c r="F17" s="88" t="n">
        <f aca="false">F18+F19+F20+F21+F22</f>
        <v>103.06855</v>
      </c>
      <c r="G17" s="88" t="n">
        <f aca="false">G18+G19+G20+G21+G22</f>
        <v>816.0875</v>
      </c>
      <c r="H17" s="88" t="n">
        <f aca="false">H18+H19+H20+H21+H22</f>
        <v>0.25</v>
      </c>
      <c r="I17" s="88" t="n">
        <f aca="false">I18+I19+I20+I21+I22</f>
        <v>23.48</v>
      </c>
      <c r="J17" s="88" t="n">
        <f aca="false">J18+J19+J20+J21+J22</f>
        <v>0</v>
      </c>
      <c r="K17" s="88" t="n">
        <f aca="false">K18+K19+K20+K21+K22</f>
        <v>124.48</v>
      </c>
      <c r="L17" s="88" t="n">
        <f aca="false">L18+L19+L20+L21+L22</f>
        <v>135.38</v>
      </c>
      <c r="M17" s="88" t="n">
        <f aca="false">M18+M19+M20+M21+M22</f>
        <v>46.31</v>
      </c>
      <c r="N17" s="88" t="n">
        <f aca="false">N18+N19+N20+N21+N22</f>
        <v>4.82</v>
      </c>
      <c r="O17" s="88" t="n">
        <f aca="false">O18+O19+O20+O21+O22</f>
        <v>69.6</v>
      </c>
      <c r="P17" s="40" t="n">
        <f aca="false">(D17+F17)*4.2+E17*9</f>
        <v>813.81399</v>
      </c>
      <c r="Q17" s="40" t="n">
        <v>705</v>
      </c>
    </row>
    <row r="18" customFormat="false" ht="12.75" hidden="false" customHeight="false" outlineLevel="0" collapsed="false">
      <c r="A18" s="89" t="s">
        <v>82</v>
      </c>
      <c r="B18" s="68" t="s">
        <v>83</v>
      </c>
      <c r="C18" s="90" t="n">
        <v>100</v>
      </c>
      <c r="D18" s="76" t="n">
        <f aca="false">0.94*1.66</f>
        <v>1.5604</v>
      </c>
      <c r="E18" s="76" t="n">
        <f aca="false">4.06*1.66</f>
        <v>6.7396</v>
      </c>
      <c r="F18" s="76" t="n">
        <f aca="false">5.96*1.66</f>
        <v>9.8936</v>
      </c>
      <c r="G18" s="76" t="n">
        <v>108.76</v>
      </c>
      <c r="H18" s="74" t="n">
        <v>0.01</v>
      </c>
      <c r="I18" s="74" t="n">
        <v>3.99</v>
      </c>
      <c r="J18" s="74"/>
      <c r="K18" s="74" t="n">
        <v>21.28</v>
      </c>
      <c r="L18" s="74" t="n">
        <v>24.38</v>
      </c>
      <c r="M18" s="74" t="n">
        <v>12.42</v>
      </c>
      <c r="N18" s="74" t="n">
        <v>0.79</v>
      </c>
      <c r="O18" s="91" t="n">
        <v>7.8</v>
      </c>
      <c r="P18" s="40" t="n">
        <f aca="false">(D18+F18)*4.2+E18*9</f>
        <v>108.7632</v>
      </c>
    </row>
    <row r="19" customFormat="false" ht="11.25" hidden="false" customHeight="true" outlineLevel="0" collapsed="false">
      <c r="A19" s="72" t="s">
        <v>84</v>
      </c>
      <c r="B19" s="73" t="s">
        <v>178</v>
      </c>
      <c r="C19" s="59" t="n">
        <v>250</v>
      </c>
      <c r="D19" s="74" t="n">
        <f aca="false">3*1.25</f>
        <v>3.75</v>
      </c>
      <c r="E19" s="74" t="n">
        <f aca="false">(4.61-0.21)*1.25</f>
        <v>5.5</v>
      </c>
      <c r="F19" s="74" t="n">
        <f aca="false">(12.54-0.05)*1.255</f>
        <v>15.67495</v>
      </c>
      <c r="G19" s="74" t="n">
        <f aca="false">106.65*1.25</f>
        <v>133.3125</v>
      </c>
      <c r="H19" s="74" t="s">
        <v>179</v>
      </c>
      <c r="I19" s="74" t="s">
        <v>180</v>
      </c>
      <c r="J19" s="77"/>
      <c r="K19" s="74" t="s">
        <v>181</v>
      </c>
      <c r="L19" s="74" t="s">
        <v>182</v>
      </c>
      <c r="M19" s="74" t="s">
        <v>183</v>
      </c>
      <c r="N19" s="74" t="n">
        <v>0.99</v>
      </c>
      <c r="O19" s="40" t="n">
        <v>21</v>
      </c>
      <c r="P19" s="40" t="n">
        <f aca="false">(D19+F19)*4.2+E19*9</f>
        <v>131.08479</v>
      </c>
    </row>
    <row r="20" customFormat="false" ht="12.75" hidden="false" customHeight="false" outlineLevel="0" collapsed="false">
      <c r="A20" s="92" t="s">
        <v>46</v>
      </c>
      <c r="B20" s="190" t="s">
        <v>47</v>
      </c>
      <c r="C20" s="59" t="n">
        <v>200</v>
      </c>
      <c r="D20" s="74" t="n">
        <v>17.73</v>
      </c>
      <c r="E20" s="74" t="n">
        <v>17.16</v>
      </c>
      <c r="F20" s="74" t="n">
        <v>42.9</v>
      </c>
      <c r="G20" s="74" t="n">
        <v>409.09</v>
      </c>
      <c r="H20" s="59" t="n">
        <v>0.05</v>
      </c>
      <c r="I20" s="59" t="n">
        <v>1.22</v>
      </c>
      <c r="J20" s="93"/>
      <c r="K20" s="59" t="n">
        <v>9.8</v>
      </c>
      <c r="L20" s="59" t="n">
        <v>16.87</v>
      </c>
      <c r="M20" s="59" t="n">
        <v>4.54</v>
      </c>
      <c r="N20" s="59" t="n">
        <v>1.39</v>
      </c>
      <c r="O20" s="40" t="n">
        <v>25</v>
      </c>
      <c r="P20" s="40" t="n">
        <f aca="false">(D20+F20)*4.2+E20*9</f>
        <v>409.086</v>
      </c>
    </row>
    <row r="21" customFormat="false" ht="12.75" hidden="false" customHeight="false" outlineLevel="0" collapsed="false">
      <c r="A21" s="94" t="s">
        <v>35</v>
      </c>
      <c r="B21" s="75" t="s">
        <v>36</v>
      </c>
      <c r="C21" s="69" t="n">
        <v>200</v>
      </c>
      <c r="D21" s="76" t="n">
        <v>0</v>
      </c>
      <c r="E21" s="77" t="n">
        <v>0</v>
      </c>
      <c r="F21" s="76" t="n">
        <v>10</v>
      </c>
      <c r="G21" s="76" t="n">
        <v>42</v>
      </c>
      <c r="H21" s="79" t="n">
        <v>0.04</v>
      </c>
      <c r="I21" s="79" t="n">
        <v>1.48</v>
      </c>
      <c r="J21" s="55"/>
      <c r="K21" s="79" t="n">
        <v>59.5</v>
      </c>
      <c r="L21" s="55"/>
      <c r="M21" s="55"/>
      <c r="N21" s="79" t="n">
        <v>1.21</v>
      </c>
      <c r="O21" s="40" t="n">
        <v>13</v>
      </c>
      <c r="P21" s="40" t="n">
        <f aca="false">(D21+F21)*4.2+E21*9</f>
        <v>42</v>
      </c>
    </row>
    <row r="22" customFormat="false" ht="12.75" hidden="false" customHeight="false" outlineLevel="0" collapsed="false">
      <c r="A22" s="67"/>
      <c r="B22" s="122" t="s">
        <v>28</v>
      </c>
      <c r="C22" s="59" t="n">
        <v>50</v>
      </c>
      <c r="D22" s="76" t="n">
        <f aca="false">3.04*1.25</f>
        <v>3.8</v>
      </c>
      <c r="E22" s="74" t="n">
        <f aca="false">0.32*1.25</f>
        <v>0.4</v>
      </c>
      <c r="F22" s="76" t="n">
        <f aca="false">19.68*1.25</f>
        <v>24.6</v>
      </c>
      <c r="G22" s="76" t="n">
        <f aca="false">98.34*1.25</f>
        <v>122.925</v>
      </c>
      <c r="H22" s="59" t="n">
        <v>0.04</v>
      </c>
      <c r="I22" s="93"/>
      <c r="J22" s="93"/>
      <c r="K22" s="69" t="n">
        <v>8</v>
      </c>
      <c r="L22" s="93" t="n">
        <v>26</v>
      </c>
      <c r="M22" s="93" t="n">
        <v>5.6</v>
      </c>
      <c r="N22" s="59" t="n">
        <v>0.44</v>
      </c>
      <c r="O22" s="40" t="n">
        <v>2.8</v>
      </c>
      <c r="P22" s="40" t="n">
        <f aca="false">(D22+F22)*4.2+E22*9</f>
        <v>122.88</v>
      </c>
    </row>
    <row r="23" customFormat="false" ht="12.75" hidden="false" customHeight="false" outlineLevel="0" collapsed="false">
      <c r="A23" s="82"/>
      <c r="B23" s="75"/>
      <c r="C23" s="86" t="n">
        <f aca="false">SUM(C18:C22)</f>
        <v>800</v>
      </c>
      <c r="D23" s="84"/>
      <c r="E23" s="85"/>
      <c r="F23" s="84"/>
      <c r="G23" s="84"/>
      <c r="H23" s="59"/>
      <c r="I23" s="93"/>
      <c r="J23" s="93"/>
      <c r="K23" s="60"/>
      <c r="L23" s="55"/>
      <c r="M23" s="55"/>
      <c r="N23" s="60"/>
      <c r="P23" s="40" t="n">
        <f aca="false">(D23+F23)*4.2+E23*9</f>
        <v>0</v>
      </c>
    </row>
    <row r="24" customFormat="false" ht="12.75" hidden="false" customHeight="false" outlineLevel="0" collapsed="false">
      <c r="A24" s="61" t="s">
        <v>184</v>
      </c>
      <c r="B24" s="66" t="s">
        <v>170</v>
      </c>
      <c r="C24" s="66"/>
      <c r="D24" s="63" t="n">
        <f aca="false">D25+D31</f>
        <v>44.52744</v>
      </c>
      <c r="E24" s="63" t="n">
        <f aca="false">E25+E31</f>
        <v>48.91346</v>
      </c>
      <c r="F24" s="63" t="n">
        <f aca="false">F25+F31</f>
        <v>220.61378</v>
      </c>
      <c r="G24" s="63" t="n">
        <f aca="false">G25+G31</f>
        <v>1556.9635</v>
      </c>
      <c r="H24" s="63" t="e">
        <f aca="false">H25+H31</f>
        <v>#REF!</v>
      </c>
      <c r="I24" s="63" t="e">
        <f aca="false">I25+I31</f>
        <v>#REF!</v>
      </c>
      <c r="J24" s="63" t="e">
        <f aca="false">J25+J31</f>
        <v>#REF!</v>
      </c>
      <c r="K24" s="63" t="e">
        <f aca="false">K25+K31</f>
        <v>#REF!</v>
      </c>
      <c r="L24" s="63" t="e">
        <f aca="false">L25+L31</f>
        <v>#REF!</v>
      </c>
      <c r="M24" s="63" t="e">
        <f aca="false">M25+M31</f>
        <v>#REF!</v>
      </c>
      <c r="N24" s="63" t="e">
        <f aca="false">N25+N31</f>
        <v>#REF!</v>
      </c>
      <c r="O24" s="64" t="e">
        <f aca="false">O25+O31</f>
        <v>#REF!</v>
      </c>
      <c r="P24" s="40" t="n">
        <f aca="false">(D24+F24)*4.2+E24*9</f>
        <v>1553.814264</v>
      </c>
    </row>
    <row r="25" customFormat="false" ht="12.75" hidden="false" customHeight="false" outlineLevel="0" collapsed="false">
      <c r="A25" s="61"/>
      <c r="B25" s="193" t="s">
        <v>18</v>
      </c>
      <c r="C25" s="62"/>
      <c r="D25" s="63" t="n">
        <f aca="false">D26+D27+D28+D29</f>
        <v>17.3025</v>
      </c>
      <c r="E25" s="63" t="n">
        <f aca="false">E26+E27+E28+E29</f>
        <v>13.0875</v>
      </c>
      <c r="F25" s="63" t="n">
        <f aca="false">F26+F27+F28+F29</f>
        <v>116.4575</v>
      </c>
      <c r="G25" s="63" t="n">
        <f aca="false">G26+G27+G28+G29</f>
        <v>681.25</v>
      </c>
      <c r="H25" s="63" t="e">
        <f aca="false">H26+H27+H28+H29+#REF!</f>
        <v>#REF!</v>
      </c>
      <c r="I25" s="63" t="e">
        <f aca="false">I26+I27+I28+I29+#REF!</f>
        <v>#REF!</v>
      </c>
      <c r="J25" s="63" t="e">
        <f aca="false">J26+J27+J28+J29+#REF!</f>
        <v>#REF!</v>
      </c>
      <c r="K25" s="63" t="e">
        <f aca="false">K26+K27+K28+K29+#REF!</f>
        <v>#REF!</v>
      </c>
      <c r="L25" s="63" t="e">
        <f aca="false">L26+L27+L28+L29+#REF!</f>
        <v>#REF!</v>
      </c>
      <c r="M25" s="63" t="e">
        <f aca="false">M26+M27+M28+M29+#REF!</f>
        <v>#REF!</v>
      </c>
      <c r="N25" s="63" t="e">
        <f aca="false">N26+N27+N28+N29+#REF!</f>
        <v>#REF!</v>
      </c>
      <c r="O25" s="64" t="e">
        <f aca="false">O26+O27+O28+O29+#REF!</f>
        <v>#REF!</v>
      </c>
      <c r="P25" s="40" t="n">
        <f aca="false">(D25+F25)*4.2+E25*9</f>
        <v>679.5795</v>
      </c>
      <c r="Q25" s="40" t="n">
        <v>470</v>
      </c>
    </row>
    <row r="26" customFormat="false" ht="24" hidden="false" customHeight="false" outlineLevel="0" collapsed="false">
      <c r="A26" s="182" t="s">
        <v>23</v>
      </c>
      <c r="B26" s="68" t="s">
        <v>136</v>
      </c>
      <c r="C26" s="69" t="n">
        <v>253</v>
      </c>
      <c r="D26" s="76" t="n">
        <f aca="false">7.81*1.25</f>
        <v>9.7625</v>
      </c>
      <c r="E26" s="76" t="n">
        <f aca="false">4.55*1.25</f>
        <v>5.6875</v>
      </c>
      <c r="F26" s="76" t="n">
        <f aca="false">33.47*1.25</f>
        <v>41.8375</v>
      </c>
      <c r="G26" s="76" t="n">
        <v>267.91</v>
      </c>
      <c r="H26" s="79" t="n">
        <v>0.04</v>
      </c>
      <c r="I26" s="79" t="n">
        <v>15</v>
      </c>
      <c r="J26" s="79"/>
      <c r="K26" s="79" t="n">
        <v>8.4</v>
      </c>
      <c r="L26" s="79"/>
      <c r="M26" s="79"/>
      <c r="N26" s="79" t="n">
        <v>0.54</v>
      </c>
      <c r="O26" s="98" t="n">
        <v>10.9</v>
      </c>
      <c r="P26" s="40" t="n">
        <f aca="false">(D26+F26)*4.2+E26*9</f>
        <v>267.9075</v>
      </c>
    </row>
    <row r="27" customFormat="false" ht="12.75" hidden="false" customHeight="false" outlineLevel="0" collapsed="false">
      <c r="A27" s="99"/>
      <c r="B27" s="75" t="s">
        <v>60</v>
      </c>
      <c r="C27" s="69" t="n">
        <v>60</v>
      </c>
      <c r="D27" s="76" t="n">
        <f aca="false">1.5*3</f>
        <v>4.5</v>
      </c>
      <c r="E27" s="77" t="n">
        <f aca="false">2.36*3</f>
        <v>7.08</v>
      </c>
      <c r="F27" s="76" t="n">
        <f aca="false">14.98*3</f>
        <v>44.94</v>
      </c>
      <c r="G27" s="76" t="n">
        <f aca="false">91*3</f>
        <v>273</v>
      </c>
      <c r="H27" s="79" t="n">
        <v>0.46</v>
      </c>
      <c r="I27" s="79" t="n">
        <v>1.78</v>
      </c>
      <c r="J27" s="79"/>
      <c r="K27" s="79" t="n">
        <v>10.16</v>
      </c>
      <c r="L27" s="79" t="n">
        <v>8.54</v>
      </c>
      <c r="M27" s="79" t="n">
        <v>1.88</v>
      </c>
      <c r="N27" s="79" t="n">
        <v>1.14</v>
      </c>
      <c r="O27" s="40" t="n">
        <v>33</v>
      </c>
      <c r="P27" s="40" t="n">
        <f aca="false">(D27+F27)*4.2+E27*9</f>
        <v>271.368</v>
      </c>
    </row>
    <row r="28" customFormat="false" ht="12.75" hidden="false" customHeight="false" outlineLevel="0" collapsed="false">
      <c r="A28" s="99" t="s">
        <v>35</v>
      </c>
      <c r="B28" s="75" t="s">
        <v>36</v>
      </c>
      <c r="C28" s="69" t="n">
        <v>200</v>
      </c>
      <c r="D28" s="76" t="n">
        <v>0</v>
      </c>
      <c r="E28" s="76" t="n">
        <v>0</v>
      </c>
      <c r="F28" s="76" t="n">
        <v>10</v>
      </c>
      <c r="G28" s="76" t="n">
        <v>42</v>
      </c>
      <c r="H28" s="79" t="n">
        <v>0.19</v>
      </c>
      <c r="I28" s="79" t="n">
        <v>31.07</v>
      </c>
      <c r="J28" s="79" t="n">
        <v>25.2</v>
      </c>
      <c r="K28" s="79" t="n">
        <v>49.59</v>
      </c>
      <c r="L28" s="79" t="n">
        <v>91.3</v>
      </c>
      <c r="M28" s="79" t="n">
        <v>35.39</v>
      </c>
      <c r="N28" s="79" t="n">
        <v>1.43</v>
      </c>
      <c r="O28" s="40" t="n">
        <v>23</v>
      </c>
      <c r="P28" s="40" t="n">
        <f aca="false">(D28+F28)*4.2+E28*9</f>
        <v>42</v>
      </c>
    </row>
    <row r="29" customFormat="false" ht="12.75" hidden="false" customHeight="false" outlineLevel="0" collapsed="false">
      <c r="A29" s="100"/>
      <c r="B29" s="68" t="s">
        <v>28</v>
      </c>
      <c r="C29" s="69" t="n">
        <v>40</v>
      </c>
      <c r="D29" s="76" t="n">
        <v>3.04</v>
      </c>
      <c r="E29" s="77" t="n">
        <v>0.32</v>
      </c>
      <c r="F29" s="76" t="n">
        <v>19.68</v>
      </c>
      <c r="G29" s="76" t="n">
        <v>98.34</v>
      </c>
      <c r="H29" s="101" t="n">
        <v>0.01</v>
      </c>
      <c r="I29" s="101" t="n">
        <v>0.58</v>
      </c>
      <c r="J29" s="102"/>
      <c r="K29" s="101" t="n">
        <v>17.31</v>
      </c>
      <c r="L29" s="102"/>
      <c r="M29" s="102"/>
      <c r="N29" s="101" t="n">
        <v>0.65</v>
      </c>
      <c r="O29" s="40" t="n">
        <v>7</v>
      </c>
      <c r="P29" s="40" t="n">
        <f aca="false">(D29+F29)*4.2+E29*9</f>
        <v>98.304</v>
      </c>
    </row>
    <row r="30" customFormat="false" ht="12.75" hidden="false" customHeight="false" outlineLevel="0" collapsed="false">
      <c r="A30" s="72"/>
      <c r="B30" s="75"/>
      <c r="C30" s="103" t="n">
        <f aca="false">SUM(C26:C29)</f>
        <v>553</v>
      </c>
      <c r="D30" s="76"/>
      <c r="E30" s="74"/>
      <c r="F30" s="76"/>
      <c r="G30" s="76"/>
      <c r="H30" s="60"/>
      <c r="I30" s="55"/>
      <c r="J30" s="55"/>
      <c r="K30" s="79"/>
      <c r="L30" s="55"/>
      <c r="M30" s="55"/>
      <c r="N30" s="60"/>
      <c r="P30" s="40" t="n">
        <f aca="false">(D30+F30)*4.2+E30*9</f>
        <v>0</v>
      </c>
    </row>
    <row r="31" customFormat="false" ht="12.75" hidden="false" customHeight="false" outlineLevel="0" collapsed="false">
      <c r="A31" s="104"/>
      <c r="B31" s="191" t="s">
        <v>81</v>
      </c>
      <c r="C31" s="194"/>
      <c r="D31" s="105" t="n">
        <f aca="false">D32+D33+D34+D35+D36+D37</f>
        <v>27.22494</v>
      </c>
      <c r="E31" s="105" t="n">
        <f aca="false">E32+E33+E34+E35+E36+E37</f>
        <v>35.82596</v>
      </c>
      <c r="F31" s="105" t="n">
        <f aca="false">F32+F33+F34+F35+F36+F37</f>
        <v>104.15628</v>
      </c>
      <c r="G31" s="105" t="n">
        <f aca="false">G32+G33+G34+G35+G36+G37</f>
        <v>875.7135</v>
      </c>
      <c r="H31" s="105" t="n">
        <f aca="false">H32+H33+H34+H35+H36+H37</f>
        <v>0.669</v>
      </c>
      <c r="I31" s="105" t="n">
        <f aca="false">I32+I33+I34+I35+I36+I37</f>
        <v>28.21</v>
      </c>
      <c r="J31" s="105" t="n">
        <f aca="false">J32+J33+J34+J35+J36+J37</f>
        <v>0.9</v>
      </c>
      <c r="K31" s="105" t="n">
        <f aca="false">K32+K33+K34+K35+K36+K37</f>
        <v>162.12</v>
      </c>
      <c r="L31" s="105" t="n">
        <f aca="false">L32+L33+L34+L35+L36+L37</f>
        <v>361.56</v>
      </c>
      <c r="M31" s="105" t="n">
        <f aca="false">M32+M33+M34+M35+M36+M37</f>
        <v>128.27</v>
      </c>
      <c r="N31" s="105" t="n">
        <f aca="false">N32+N33+N34+N35+N36+N37</f>
        <v>8.6</v>
      </c>
      <c r="O31" s="106" t="n">
        <f aca="false">O32+O33+O34+O35+O36+O37</f>
        <v>78</v>
      </c>
      <c r="P31" s="40" t="n">
        <f aca="false">(D31+F31)*4.2+E31*9</f>
        <v>874.234764</v>
      </c>
      <c r="Q31" s="40" t="n">
        <v>705</v>
      </c>
    </row>
    <row r="32" customFormat="false" ht="12.75" hidden="false" customHeight="false" outlineLevel="0" collapsed="false">
      <c r="A32" s="72" t="s">
        <v>86</v>
      </c>
      <c r="B32" s="195" t="s">
        <v>87</v>
      </c>
      <c r="C32" s="93" t="n">
        <v>100</v>
      </c>
      <c r="D32" s="108" t="n">
        <f aca="false">0.84*1.666</f>
        <v>1.39944</v>
      </c>
      <c r="E32" s="74" t="n">
        <f aca="false">3.06*1.666</f>
        <v>5.09796</v>
      </c>
      <c r="F32" s="74" t="n">
        <f aca="false">6.83*1.666</f>
        <v>11.37878</v>
      </c>
      <c r="G32" s="74" t="n">
        <f aca="false">59.75*1.666</f>
        <v>99.5435</v>
      </c>
      <c r="H32" s="74" t="n">
        <v>0.02</v>
      </c>
      <c r="I32" s="74" t="n">
        <v>2.53</v>
      </c>
      <c r="J32" s="74"/>
      <c r="K32" s="74" t="n">
        <v>27.92</v>
      </c>
      <c r="L32" s="74" t="n">
        <v>36.55</v>
      </c>
      <c r="M32" s="74" t="n">
        <v>19.35</v>
      </c>
      <c r="N32" s="74" t="n">
        <v>0.6</v>
      </c>
      <c r="O32" s="91" t="n">
        <v>10.8</v>
      </c>
      <c r="P32" s="40" t="n">
        <f aca="false">(D32+F32)*4.2+E32*9</f>
        <v>99.550164</v>
      </c>
    </row>
    <row r="33" customFormat="false" ht="12.75" hidden="false" customHeight="false" outlineLevel="0" collapsed="false">
      <c r="A33" s="109" t="s">
        <v>88</v>
      </c>
      <c r="B33" s="68" t="s">
        <v>185</v>
      </c>
      <c r="C33" s="69" t="n">
        <v>250</v>
      </c>
      <c r="D33" s="76" t="n">
        <f aca="false">(2.57-0.86)*1.25</f>
        <v>2.1375</v>
      </c>
      <c r="E33" s="76" t="n">
        <f aca="false">8.4*1.25</f>
        <v>10.5</v>
      </c>
      <c r="F33" s="76" t="n">
        <f aca="false">17.95*1.25</f>
        <v>22.4375</v>
      </c>
      <c r="G33" s="76" t="n">
        <f aca="false">158.72*1.25</f>
        <v>198.4</v>
      </c>
      <c r="H33" s="76" t="s">
        <v>186</v>
      </c>
      <c r="I33" s="76" t="s">
        <v>187</v>
      </c>
      <c r="J33" s="77"/>
      <c r="K33" s="76" t="s">
        <v>188</v>
      </c>
      <c r="L33" s="76" t="s">
        <v>189</v>
      </c>
      <c r="M33" s="76" t="s">
        <v>190</v>
      </c>
      <c r="N33" s="76" t="s">
        <v>191</v>
      </c>
      <c r="O33" s="40" t="n">
        <v>11.2</v>
      </c>
      <c r="P33" s="40" t="n">
        <f aca="false">(D33+F33)*4.2+E33*9</f>
        <v>197.715</v>
      </c>
    </row>
    <row r="34" customFormat="false" ht="12.75" hidden="false" customHeight="false" outlineLevel="0" collapsed="false">
      <c r="A34" s="110" t="s">
        <v>90</v>
      </c>
      <c r="B34" s="75" t="s">
        <v>91</v>
      </c>
      <c r="C34" s="69" t="n">
        <v>100</v>
      </c>
      <c r="D34" s="76" t="n">
        <v>14.25</v>
      </c>
      <c r="E34" s="76" t="n">
        <v>16.66</v>
      </c>
      <c r="F34" s="76" t="n">
        <v>5.27</v>
      </c>
      <c r="G34" s="76" t="n">
        <v>232</v>
      </c>
      <c r="H34" s="69" t="n">
        <v>0.06</v>
      </c>
      <c r="I34" s="69" t="n">
        <v>2.82</v>
      </c>
      <c r="J34" s="93"/>
      <c r="K34" s="69" t="n">
        <v>14.58</v>
      </c>
      <c r="L34" s="69" t="n">
        <v>25.31</v>
      </c>
      <c r="M34" s="69" t="n">
        <v>6.62</v>
      </c>
      <c r="N34" s="69" t="n">
        <v>1.51</v>
      </c>
      <c r="O34" s="40" t="n">
        <v>38</v>
      </c>
      <c r="P34" s="40" t="n">
        <f aca="false">(D34+F34)*4.2+E34*9</f>
        <v>231.924</v>
      </c>
    </row>
    <row r="35" customFormat="false" ht="12.75" hidden="false" customHeight="false" outlineLevel="0" collapsed="false">
      <c r="A35" s="72" t="s">
        <v>51</v>
      </c>
      <c r="B35" s="75" t="s">
        <v>52</v>
      </c>
      <c r="C35" s="111" t="n">
        <v>180</v>
      </c>
      <c r="D35" s="76" t="n">
        <f aca="false">5.64*1.2</f>
        <v>6.768</v>
      </c>
      <c r="E35" s="74" t="n">
        <f aca="false">2.84*1.2</f>
        <v>3.408</v>
      </c>
      <c r="F35" s="76" t="n">
        <f aca="false">36*1.2</f>
        <v>43.2</v>
      </c>
      <c r="G35" s="76" t="n">
        <f aca="false">201*1.2</f>
        <v>241.2</v>
      </c>
      <c r="H35" s="60" t="n">
        <v>0.44</v>
      </c>
      <c r="I35" s="55"/>
      <c r="J35" s="55" t="n">
        <v>0.9</v>
      </c>
      <c r="K35" s="79" t="n">
        <v>78</v>
      </c>
      <c r="L35" s="55" t="n">
        <v>215</v>
      </c>
      <c r="M35" s="55" t="n">
        <v>70</v>
      </c>
      <c r="N35" s="60" t="n">
        <v>4.45</v>
      </c>
      <c r="O35" s="40" t="n">
        <v>10</v>
      </c>
      <c r="P35" s="40" t="n">
        <f aca="false">(D35+F35)*4.2+E35*9</f>
        <v>240.5376</v>
      </c>
    </row>
    <row r="36" customFormat="false" ht="12.75" hidden="false" customHeight="false" outlineLevel="0" collapsed="false">
      <c r="A36" s="112" t="s">
        <v>42</v>
      </c>
      <c r="B36" s="113" t="s">
        <v>70</v>
      </c>
      <c r="C36" s="69" t="n">
        <v>200</v>
      </c>
      <c r="D36" s="76" t="n">
        <v>1.15</v>
      </c>
      <c r="E36" s="77"/>
      <c r="F36" s="76" t="n">
        <v>12.03</v>
      </c>
      <c r="G36" s="76" t="n">
        <v>55.4</v>
      </c>
      <c r="H36" s="101" t="n">
        <v>0.009</v>
      </c>
      <c r="I36" s="101" t="n">
        <v>1.52</v>
      </c>
      <c r="J36" s="102"/>
      <c r="K36" s="101" t="n">
        <v>3.57</v>
      </c>
      <c r="L36" s="101" t="n">
        <v>0.66</v>
      </c>
      <c r="M36" s="101" t="n">
        <v>0.22</v>
      </c>
      <c r="N36" s="101" t="n">
        <v>0.34</v>
      </c>
      <c r="O36" s="40" t="n">
        <v>5</v>
      </c>
      <c r="P36" s="40" t="n">
        <f aca="false">(D36+F36)*4.2+E36*9</f>
        <v>55.356</v>
      </c>
    </row>
    <row r="37" customFormat="false" ht="12.75" hidden="false" customHeight="false" outlineLevel="0" collapsed="false">
      <c r="A37" s="72"/>
      <c r="B37" s="75" t="s">
        <v>28</v>
      </c>
      <c r="C37" s="59" t="n">
        <v>20</v>
      </c>
      <c r="D37" s="76" t="n">
        <v>1.52</v>
      </c>
      <c r="E37" s="74" t="n">
        <v>0.16</v>
      </c>
      <c r="F37" s="76" t="n">
        <v>9.84</v>
      </c>
      <c r="G37" s="76" t="n">
        <v>49.17</v>
      </c>
      <c r="H37" s="74" t="n">
        <v>0.04</v>
      </c>
      <c r="I37" s="77"/>
      <c r="J37" s="77"/>
      <c r="K37" s="76" t="n">
        <v>7.25</v>
      </c>
      <c r="L37" s="77" t="n">
        <v>32.5</v>
      </c>
      <c r="M37" s="77" t="n">
        <v>10.5</v>
      </c>
      <c r="N37" s="74" t="n">
        <v>0.9</v>
      </c>
      <c r="O37" s="40" t="n">
        <v>3</v>
      </c>
      <c r="P37" s="40" t="n">
        <f aca="false">(D37+F37)*4.2+E37*9</f>
        <v>49.152</v>
      </c>
    </row>
    <row r="38" customFormat="false" ht="12.75" hidden="false" customHeight="false" outlineLevel="0" collapsed="false">
      <c r="A38" s="72"/>
      <c r="B38" s="75"/>
      <c r="C38" s="103" t="n">
        <f aca="false">SUM(C32:C37)</f>
        <v>850</v>
      </c>
      <c r="D38" s="76"/>
      <c r="E38" s="74"/>
      <c r="F38" s="76"/>
      <c r="G38" s="76"/>
      <c r="H38" s="60"/>
      <c r="I38" s="55"/>
      <c r="J38" s="55"/>
      <c r="K38" s="79"/>
      <c r="L38" s="55"/>
      <c r="M38" s="55"/>
      <c r="N38" s="60"/>
      <c r="P38" s="40" t="n">
        <f aca="false">(D38+F38)*4.2+E38*9</f>
        <v>0</v>
      </c>
    </row>
    <row r="39" customFormat="false" ht="12.75" hidden="false" customHeight="false" outlineLevel="0" collapsed="false">
      <c r="A39" s="61" t="s">
        <v>192</v>
      </c>
      <c r="B39" s="62" t="s">
        <v>170</v>
      </c>
      <c r="C39" s="62"/>
      <c r="D39" s="63" t="n">
        <f aca="false">D40+D46</f>
        <v>42.4296</v>
      </c>
      <c r="E39" s="63" t="n">
        <f aca="false">E40+E46</f>
        <v>38.7911</v>
      </c>
      <c r="F39" s="63" t="n">
        <f aca="false">F40+F46</f>
        <v>220.9549</v>
      </c>
      <c r="G39" s="63" t="n">
        <f aca="false">G40+G46</f>
        <v>1456.335</v>
      </c>
      <c r="H39" s="63" t="n">
        <f aca="false">H40+H46</f>
        <v>0.62</v>
      </c>
      <c r="I39" s="63" t="n">
        <f aca="false">I40+I46</f>
        <v>35.22</v>
      </c>
      <c r="J39" s="63" t="n">
        <f aca="false">J40+J46</f>
        <v>596.4</v>
      </c>
      <c r="K39" s="63" t="n">
        <f aca="false">K40+K46</f>
        <v>182.93</v>
      </c>
      <c r="L39" s="63" t="n">
        <f aca="false">L40+L46</f>
        <v>512.99</v>
      </c>
      <c r="M39" s="63" t="n">
        <f aca="false">M40+M46</f>
        <v>219.59</v>
      </c>
      <c r="N39" s="63" t="n">
        <f aca="false">N40+N46</f>
        <v>11.26</v>
      </c>
      <c r="O39" s="64" t="n">
        <f aca="false">O40+O46</f>
        <v>151.9</v>
      </c>
      <c r="P39" s="40" t="n">
        <f aca="false">(D39+F39)*4.2+E39*9</f>
        <v>1455.3348</v>
      </c>
    </row>
    <row r="40" customFormat="false" ht="12.75" hidden="false" customHeight="false" outlineLevel="0" collapsed="false">
      <c r="A40" s="65"/>
      <c r="B40" s="66" t="s">
        <v>18</v>
      </c>
      <c r="C40" s="66"/>
      <c r="D40" s="63" t="n">
        <f aca="false">D41+D42+D43+D44</f>
        <v>13.68</v>
      </c>
      <c r="E40" s="63" t="n">
        <f aca="false">E41+E42+E43+E44</f>
        <v>8.5</v>
      </c>
      <c r="F40" s="63" t="n">
        <f aca="false">F41+F42+F43+F44</f>
        <v>101.5</v>
      </c>
      <c r="G40" s="63" t="n">
        <f aca="false">G41+G42+G43+G44</f>
        <v>560.125</v>
      </c>
      <c r="H40" s="63" t="n">
        <f aca="false">H41+H42+H43+H44</f>
        <v>0.1</v>
      </c>
      <c r="I40" s="63" t="n">
        <f aca="false">I41+I42+I43+I44</f>
        <v>16.39</v>
      </c>
      <c r="J40" s="63" t="n">
        <f aca="false">J41+J42+J43+J44</f>
        <v>40</v>
      </c>
      <c r="K40" s="63" t="n">
        <f aca="false">K41+K42+K43+K44</f>
        <v>72.97</v>
      </c>
      <c r="L40" s="63" t="n">
        <f aca="false">L41+L42+L43+L44</f>
        <v>29.5</v>
      </c>
      <c r="M40" s="63" t="n">
        <f aca="false">M41+M42+M43+M44</f>
        <v>5.7</v>
      </c>
      <c r="N40" s="63" t="n">
        <f aca="false">N41+N42+N43+N44</f>
        <v>4.07</v>
      </c>
      <c r="O40" s="64" t="n">
        <f aca="false">O41+O42+O43+O44</f>
        <v>79.3</v>
      </c>
      <c r="P40" s="40" t="n">
        <f aca="false">(D40+F40)*4.2+E40*9</f>
        <v>560.256</v>
      </c>
      <c r="Q40" s="40" t="n">
        <v>470</v>
      </c>
    </row>
    <row r="41" customFormat="false" ht="12.75" hidden="false" customHeight="false" outlineLevel="0" collapsed="false">
      <c r="A41" s="114"/>
      <c r="B41" s="115" t="s">
        <v>45</v>
      </c>
      <c r="C41" s="116" t="n">
        <v>100</v>
      </c>
      <c r="D41" s="117" t="n">
        <v>0.4</v>
      </c>
      <c r="E41" s="117" t="n">
        <v>0</v>
      </c>
      <c r="F41" s="117" t="n">
        <v>9.8</v>
      </c>
      <c r="G41" s="117" t="n">
        <v>42.84</v>
      </c>
      <c r="H41" s="55" t="n">
        <v>0.01</v>
      </c>
      <c r="I41" s="55" t="n">
        <v>0.39</v>
      </c>
      <c r="J41" s="55" t="n">
        <v>40</v>
      </c>
      <c r="K41" s="55" t="n">
        <v>38.9</v>
      </c>
      <c r="L41" s="55" t="n">
        <v>3.5</v>
      </c>
      <c r="M41" s="55" t="n">
        <v>0.1</v>
      </c>
      <c r="N41" s="55" t="n">
        <v>0.07</v>
      </c>
      <c r="O41" s="40" t="n">
        <v>53.5</v>
      </c>
      <c r="P41" s="40" t="n">
        <f aca="false">(D41+F41)*4.2+E41*9</f>
        <v>42.84</v>
      </c>
    </row>
    <row r="42" customFormat="false" ht="24" hidden="false" customHeight="false" outlineLevel="0" collapsed="false">
      <c r="A42" s="93" t="s">
        <v>23</v>
      </c>
      <c r="B42" s="73" t="s">
        <v>137</v>
      </c>
      <c r="C42" s="59" t="n">
        <v>203</v>
      </c>
      <c r="D42" s="76" t="n">
        <v>8.48</v>
      </c>
      <c r="E42" s="76" t="n">
        <v>8</v>
      </c>
      <c r="F42" s="76" t="n">
        <v>36.1</v>
      </c>
      <c r="G42" s="76" t="n">
        <v>259.36</v>
      </c>
      <c r="H42" s="55"/>
      <c r="I42" s="55"/>
      <c r="J42" s="55"/>
      <c r="K42" s="79" t="n">
        <v>0.47</v>
      </c>
      <c r="L42" s="55"/>
      <c r="M42" s="55"/>
      <c r="N42" s="79" t="n">
        <v>0.04</v>
      </c>
      <c r="O42" s="40" t="n">
        <v>3</v>
      </c>
      <c r="P42" s="40" t="n">
        <f aca="false">(D42+F42)*4.2+E42*9</f>
        <v>259.236</v>
      </c>
    </row>
    <row r="43" customFormat="false" ht="21.75" hidden="false" customHeight="true" outlineLevel="0" collapsed="false">
      <c r="A43" s="67" t="s">
        <v>42</v>
      </c>
      <c r="B43" s="118" t="s">
        <v>43</v>
      </c>
      <c r="C43" s="69" t="n">
        <v>200</v>
      </c>
      <c r="D43" s="76" t="n">
        <v>1</v>
      </c>
      <c r="E43" s="76" t="n">
        <v>0.1</v>
      </c>
      <c r="F43" s="76" t="n">
        <v>31</v>
      </c>
      <c r="G43" s="76" t="n">
        <v>135</v>
      </c>
      <c r="H43" s="60" t="n">
        <v>0.04</v>
      </c>
      <c r="I43" s="55"/>
      <c r="J43" s="55"/>
      <c r="K43" s="79" t="n">
        <v>8</v>
      </c>
      <c r="L43" s="55" t="n">
        <v>26</v>
      </c>
      <c r="M43" s="55" t="n">
        <v>5.6</v>
      </c>
      <c r="N43" s="60" t="n">
        <v>0.44</v>
      </c>
      <c r="O43" s="40" t="n">
        <v>2.8</v>
      </c>
      <c r="P43" s="40" t="n">
        <f aca="false">(D43+F43)*4.2+E43*9</f>
        <v>135.3</v>
      </c>
    </row>
    <row r="44" customFormat="false" ht="12.75" hidden="false" customHeight="false" outlineLevel="0" collapsed="false">
      <c r="A44" s="67"/>
      <c r="B44" s="122" t="s">
        <v>28</v>
      </c>
      <c r="C44" s="59" t="n">
        <v>50</v>
      </c>
      <c r="D44" s="76" t="n">
        <f aca="false">3.04*1.25</f>
        <v>3.8</v>
      </c>
      <c r="E44" s="74" t="n">
        <f aca="false">0.32*1.25</f>
        <v>0.4</v>
      </c>
      <c r="F44" s="76" t="n">
        <f aca="false">19.68*1.25</f>
        <v>24.6</v>
      </c>
      <c r="G44" s="76" t="n">
        <f aca="false">98.34*1.25</f>
        <v>122.925</v>
      </c>
      <c r="H44" s="79" t="n">
        <v>0.05</v>
      </c>
      <c r="I44" s="60" t="n">
        <v>16</v>
      </c>
      <c r="J44" s="55"/>
      <c r="K44" s="60" t="n">
        <v>25.6</v>
      </c>
      <c r="L44" s="55"/>
      <c r="M44" s="55"/>
      <c r="N44" s="60" t="n">
        <v>3.52</v>
      </c>
      <c r="O44" s="40" t="n">
        <v>20</v>
      </c>
      <c r="P44" s="40" t="n">
        <f aca="false">(D44+F44)*4.2+E44*9</f>
        <v>122.88</v>
      </c>
    </row>
    <row r="45" customFormat="false" ht="12.75" hidden="false" customHeight="false" outlineLevel="0" collapsed="false">
      <c r="A45" s="67"/>
      <c r="B45" s="75"/>
      <c r="C45" s="119" t="n">
        <f aca="false">SUM(C41:C44)</f>
        <v>553</v>
      </c>
      <c r="D45" s="76"/>
      <c r="E45" s="74"/>
      <c r="F45" s="76"/>
      <c r="G45" s="76"/>
      <c r="H45" s="60"/>
      <c r="I45" s="55"/>
      <c r="J45" s="55"/>
      <c r="K45" s="79"/>
      <c r="L45" s="55"/>
      <c r="M45" s="55"/>
      <c r="N45" s="60"/>
      <c r="P45" s="40" t="n">
        <f aca="false">(D45+F45)*4.2+E45*9</f>
        <v>0</v>
      </c>
    </row>
    <row r="46" customFormat="false" ht="12.75" hidden="false" customHeight="false" outlineLevel="0" collapsed="false">
      <c r="A46" s="67"/>
      <c r="B46" s="191" t="s">
        <v>81</v>
      </c>
      <c r="C46" s="119"/>
      <c r="D46" s="105" t="n">
        <f aca="false">D47+D48+D49+D50+D51+D52</f>
        <v>28.7496</v>
      </c>
      <c r="E46" s="105" t="n">
        <f aca="false">E47+E48+E49+E50+E51+E52</f>
        <v>30.2911</v>
      </c>
      <c r="F46" s="105" t="n">
        <f aca="false">F47+F48+F49+F50+F51+F52</f>
        <v>119.4549</v>
      </c>
      <c r="G46" s="105" t="n">
        <f aca="false">G47+G48+G49+G50+G51+G52</f>
        <v>896.21</v>
      </c>
      <c r="H46" s="105" t="n">
        <f aca="false">H47+H48+H49+H50+H51+H52</f>
        <v>0.52</v>
      </c>
      <c r="I46" s="105" t="n">
        <f aca="false">I47+I48+I49+I50+I51+I52</f>
        <v>18.83</v>
      </c>
      <c r="J46" s="105" t="n">
        <f aca="false">J47+J48+J49+J50+J51+J52</f>
        <v>556.4</v>
      </c>
      <c r="K46" s="105" t="n">
        <f aca="false">K47+K48+K49+K50+K51+K52</f>
        <v>109.96</v>
      </c>
      <c r="L46" s="105" t="n">
        <f aca="false">L47+L48+L49+L50+L51+L52</f>
        <v>483.49</v>
      </c>
      <c r="M46" s="105" t="n">
        <f aca="false">M47+M48+M49+M50+M51+M52</f>
        <v>213.89</v>
      </c>
      <c r="N46" s="105" t="n">
        <f aca="false">N47+N48+N49+N50+N51+N52</f>
        <v>7.19</v>
      </c>
      <c r="O46" s="106" t="n">
        <f aca="false">O47+O48+O49+O50+O51+O52</f>
        <v>72.6</v>
      </c>
      <c r="P46" s="40" t="n">
        <f aca="false">(D46+F46)*4.2+E46*9</f>
        <v>895.0788</v>
      </c>
      <c r="Q46" s="40" t="n">
        <v>705</v>
      </c>
    </row>
    <row r="47" customFormat="false" ht="12.75" hidden="false" customHeight="false" outlineLevel="0" collapsed="false">
      <c r="A47" s="89" t="s">
        <v>92</v>
      </c>
      <c r="B47" s="134" t="s">
        <v>93</v>
      </c>
      <c r="C47" s="69" t="n">
        <v>100</v>
      </c>
      <c r="D47" s="76" t="n">
        <f aca="false">1.21*1.67</f>
        <v>2.0207</v>
      </c>
      <c r="E47" s="76" t="n">
        <f aca="false">6.2*1.67</f>
        <v>10.354</v>
      </c>
      <c r="F47" s="76" t="n">
        <f aca="false">12.33*1.67</f>
        <v>20.5911</v>
      </c>
      <c r="G47" s="76" t="n">
        <f aca="false">113*1.67</f>
        <v>188.71</v>
      </c>
      <c r="H47" s="74" t="n">
        <v>0.02</v>
      </c>
      <c r="I47" s="74" t="n">
        <v>2.3</v>
      </c>
      <c r="J47" s="74" t="n">
        <v>443</v>
      </c>
      <c r="K47" s="74" t="n">
        <v>14</v>
      </c>
      <c r="L47" s="74" t="n">
        <v>28</v>
      </c>
      <c r="M47" s="74" t="n">
        <v>17</v>
      </c>
      <c r="N47" s="74" t="n">
        <v>0.45</v>
      </c>
      <c r="O47" s="40" t="n">
        <v>9.2</v>
      </c>
      <c r="P47" s="40" t="n">
        <f aca="false">(D47+F47)*4.2+E47*9</f>
        <v>188.15556</v>
      </c>
    </row>
    <row r="48" customFormat="false" ht="12.75" hidden="false" customHeight="false" outlineLevel="0" collapsed="false">
      <c r="A48" s="120" t="s">
        <v>94</v>
      </c>
      <c r="B48" s="196" t="s">
        <v>252</v>
      </c>
      <c r="C48" s="59" t="n">
        <v>250</v>
      </c>
      <c r="D48" s="74" t="n">
        <f aca="false">1.65*1.25</f>
        <v>2.0625</v>
      </c>
      <c r="E48" s="74" t="n">
        <f aca="false">1.97*1.25</f>
        <v>2.4625</v>
      </c>
      <c r="F48" s="74" t="n">
        <f aca="false">11.49*1.25</f>
        <v>14.3625</v>
      </c>
      <c r="G48" s="74" t="n">
        <f aca="false">73.68*1.25</f>
        <v>92.1</v>
      </c>
      <c r="H48" s="74" t="s">
        <v>194</v>
      </c>
      <c r="I48" s="74" t="s">
        <v>195</v>
      </c>
      <c r="J48" s="77"/>
      <c r="K48" s="74" t="s">
        <v>196</v>
      </c>
      <c r="L48" s="74" t="s">
        <v>197</v>
      </c>
      <c r="M48" s="74" t="s">
        <v>198</v>
      </c>
      <c r="N48" s="74" t="s">
        <v>199</v>
      </c>
      <c r="O48" s="40" t="n">
        <v>5.6</v>
      </c>
      <c r="P48" s="40" t="n">
        <f aca="false">(D48+F48)*4.2+E48*9</f>
        <v>91.1475</v>
      </c>
    </row>
    <row r="49" customFormat="false" ht="12.75" hidden="false" customHeight="false" outlineLevel="0" collapsed="false">
      <c r="A49" s="121" t="s">
        <v>96</v>
      </c>
      <c r="B49" s="122" t="s">
        <v>97</v>
      </c>
      <c r="C49" s="69" t="n">
        <v>100</v>
      </c>
      <c r="D49" s="76" t="n">
        <f aca="false">11.84*1.11</f>
        <v>13.1424</v>
      </c>
      <c r="E49" s="76" t="n">
        <f aca="false">10.06*1.11</f>
        <v>11.1666</v>
      </c>
      <c r="F49" s="76" t="n">
        <f aca="false">16.03*1.11</f>
        <v>17.7933</v>
      </c>
      <c r="G49" s="76" t="n">
        <f aca="false">208*1.11</f>
        <v>230.88</v>
      </c>
      <c r="H49" s="55" t="n">
        <v>0.1</v>
      </c>
      <c r="I49" s="55" t="n">
        <v>6.03</v>
      </c>
      <c r="J49" s="55" t="n">
        <v>92.4</v>
      </c>
      <c r="K49" s="55" t="n">
        <v>52.89</v>
      </c>
      <c r="L49" s="55" t="n">
        <v>193.68</v>
      </c>
      <c r="M49" s="55" t="n">
        <v>44.45</v>
      </c>
      <c r="N49" s="55" t="n">
        <v>1.01</v>
      </c>
      <c r="O49" s="40" t="n">
        <v>35</v>
      </c>
      <c r="P49" s="40" t="n">
        <f aca="false">(D49+F49)*4.2+E49*9</f>
        <v>230.42934</v>
      </c>
    </row>
    <row r="50" customFormat="false" ht="12.75" hidden="false" customHeight="false" outlineLevel="0" collapsed="false">
      <c r="A50" s="94" t="s">
        <v>98</v>
      </c>
      <c r="B50" s="190" t="s">
        <v>99</v>
      </c>
      <c r="C50" s="69" t="n">
        <v>180</v>
      </c>
      <c r="D50" s="76" t="n">
        <f aca="false">8.77*1.2</f>
        <v>10.524</v>
      </c>
      <c r="E50" s="76" t="n">
        <f aca="false">5.19*1.2</f>
        <v>6.228</v>
      </c>
      <c r="F50" s="76" t="n">
        <f aca="false">39.6*1.23</f>
        <v>48.708</v>
      </c>
      <c r="G50" s="76" t="n">
        <v>304</v>
      </c>
      <c r="H50" s="69" t="n">
        <v>0.3</v>
      </c>
      <c r="I50" s="93"/>
      <c r="J50" s="69" t="n">
        <v>21</v>
      </c>
      <c r="K50" s="69" t="n">
        <v>15.38</v>
      </c>
      <c r="L50" s="69" t="n">
        <v>208.35</v>
      </c>
      <c r="M50" s="69" t="n">
        <v>138.65</v>
      </c>
      <c r="N50" s="69" t="n">
        <v>4.66</v>
      </c>
      <c r="O50" s="40" t="n">
        <v>13</v>
      </c>
      <c r="P50" s="40" t="n">
        <f aca="false">(D50+F50)*4.2+E50*9</f>
        <v>304.8264</v>
      </c>
    </row>
    <row r="51" customFormat="false" ht="12.75" hidden="false" customHeight="false" outlineLevel="0" collapsed="false">
      <c r="A51" s="72" t="s">
        <v>35</v>
      </c>
      <c r="B51" s="122" t="s">
        <v>36</v>
      </c>
      <c r="C51" s="59" t="n">
        <v>200</v>
      </c>
      <c r="D51" s="76" t="n">
        <v>0</v>
      </c>
      <c r="E51" s="77" t="n">
        <v>0</v>
      </c>
      <c r="F51" s="76" t="n">
        <v>10</v>
      </c>
      <c r="G51" s="74" t="n">
        <v>42</v>
      </c>
      <c r="H51" s="74" t="s">
        <v>200</v>
      </c>
      <c r="I51" s="76" t="s">
        <v>201</v>
      </c>
      <c r="J51" s="77"/>
      <c r="K51" s="76" t="s">
        <v>202</v>
      </c>
      <c r="L51" s="77"/>
      <c r="M51" s="77"/>
      <c r="N51" s="74" t="s">
        <v>203</v>
      </c>
      <c r="O51" s="40" t="n">
        <v>7</v>
      </c>
      <c r="P51" s="40" t="n">
        <f aca="false">(D51+F51)*4.2+E51*9</f>
        <v>42</v>
      </c>
    </row>
    <row r="52" customFormat="false" ht="12.75" hidden="false" customHeight="false" outlineLevel="0" collapsed="false">
      <c r="A52" s="67"/>
      <c r="B52" s="122" t="s">
        <v>100</v>
      </c>
      <c r="C52" s="59" t="n">
        <v>20</v>
      </c>
      <c r="D52" s="76" t="n">
        <v>1</v>
      </c>
      <c r="E52" s="74" t="n">
        <v>0.08</v>
      </c>
      <c r="F52" s="76" t="n">
        <v>8</v>
      </c>
      <c r="G52" s="76" t="n">
        <v>38.52</v>
      </c>
      <c r="H52" s="59" t="n">
        <v>0.04</v>
      </c>
      <c r="I52" s="93"/>
      <c r="J52" s="93"/>
      <c r="K52" s="69" t="n">
        <v>8</v>
      </c>
      <c r="L52" s="93" t="n">
        <v>26</v>
      </c>
      <c r="M52" s="93" t="n">
        <v>5.6</v>
      </c>
      <c r="N52" s="59" t="n">
        <v>0.44</v>
      </c>
      <c r="O52" s="40" t="n">
        <v>2.8</v>
      </c>
      <c r="P52" s="40" t="n">
        <f aca="false">(D52+F52)*4.2+E52*9</f>
        <v>38.52</v>
      </c>
    </row>
    <row r="53" customFormat="false" ht="12.75" hidden="false" customHeight="false" outlineLevel="0" collapsed="false">
      <c r="A53" s="67"/>
      <c r="B53" s="122"/>
      <c r="C53" s="119" t="n">
        <f aca="false">SUM(C47:C52)</f>
        <v>850</v>
      </c>
      <c r="D53" s="76"/>
      <c r="E53" s="74"/>
      <c r="F53" s="76"/>
      <c r="G53" s="76"/>
      <c r="H53" s="59"/>
      <c r="I53" s="93"/>
      <c r="J53" s="93"/>
      <c r="K53" s="69"/>
      <c r="L53" s="93"/>
      <c r="M53" s="93"/>
      <c r="N53" s="59"/>
      <c r="P53" s="40" t="n">
        <f aca="false">(D53+F53)*4.2+E53*9</f>
        <v>0</v>
      </c>
    </row>
    <row r="54" customFormat="false" ht="12.75" hidden="false" customHeight="false" outlineLevel="0" collapsed="false">
      <c r="A54" s="67"/>
      <c r="B54" s="75"/>
      <c r="C54" s="119"/>
      <c r="D54" s="76"/>
      <c r="E54" s="74"/>
      <c r="F54" s="76"/>
      <c r="G54" s="76"/>
      <c r="H54" s="60"/>
      <c r="I54" s="55"/>
      <c r="J54" s="55"/>
      <c r="K54" s="79"/>
      <c r="L54" s="55"/>
      <c r="M54" s="55"/>
      <c r="N54" s="60"/>
      <c r="P54" s="40" t="n">
        <f aca="false">(D54+F54)*4.2+E54*9</f>
        <v>0</v>
      </c>
    </row>
    <row r="55" customFormat="false" ht="12.75" hidden="false" customHeight="false" outlineLevel="0" collapsed="false">
      <c r="A55" s="65" t="s">
        <v>204</v>
      </c>
      <c r="B55" s="66" t="s">
        <v>170</v>
      </c>
      <c r="C55" s="66"/>
      <c r="D55" s="105" t="n">
        <f aca="false">D56+D62</f>
        <v>46.1734</v>
      </c>
      <c r="E55" s="105" t="n">
        <f aca="false">E56+E62</f>
        <v>43.6677</v>
      </c>
      <c r="F55" s="105" t="n">
        <f aca="false">F56+F62</f>
        <v>197.7914</v>
      </c>
      <c r="G55" s="105" t="n">
        <f aca="false">G56+G62</f>
        <v>1439.86</v>
      </c>
      <c r="H55" s="105" t="e">
        <f aca="false">H56+H62</f>
        <v>#REF!</v>
      </c>
      <c r="I55" s="105" t="e">
        <f aca="false">I56+I62</f>
        <v>#REF!</v>
      </c>
      <c r="J55" s="105" t="e">
        <f aca="false">J56+J62</f>
        <v>#REF!</v>
      </c>
      <c r="K55" s="105" t="e">
        <f aca="false">K56+K62</f>
        <v>#REF!</v>
      </c>
      <c r="L55" s="105" t="e">
        <f aca="false">L56+L62</f>
        <v>#REF!</v>
      </c>
      <c r="M55" s="105" t="e">
        <f aca="false">M56+M62</f>
        <v>#REF!</v>
      </c>
      <c r="N55" s="105" t="e">
        <f aca="false">N56+N62</f>
        <v>#REF!</v>
      </c>
      <c r="O55" s="106" t="e">
        <f aca="false">O56+O62</f>
        <v>#REF!</v>
      </c>
      <c r="P55" s="40" t="n">
        <f aca="false">(D55+F55)*4.2+E55*9</f>
        <v>1417.66146</v>
      </c>
    </row>
    <row r="56" customFormat="false" ht="12.75" hidden="false" customHeight="false" outlineLevel="0" collapsed="false">
      <c r="A56" s="65"/>
      <c r="B56" s="193" t="s">
        <v>18</v>
      </c>
      <c r="C56" s="62"/>
      <c r="D56" s="105" t="n">
        <f aca="false">D57+D58+D59+D60</f>
        <v>17.025</v>
      </c>
      <c r="E56" s="105" t="n">
        <f aca="false">E57+E58+E59+E60</f>
        <v>9.4225</v>
      </c>
      <c r="F56" s="105" t="n">
        <f aca="false">F57+F58+F59+F60</f>
        <v>111.12</v>
      </c>
      <c r="G56" s="105" t="n">
        <f aca="false">G57+G58+G59+G60</f>
        <v>623.05</v>
      </c>
      <c r="H56" s="105" t="n">
        <f aca="false">H57+H58+H59+H60</f>
        <v>0.289</v>
      </c>
      <c r="I56" s="105" t="n">
        <f aca="false">I57+I58+I59+I60</f>
        <v>2.12</v>
      </c>
      <c r="J56" s="105" t="n">
        <f aca="false">J57+J58+J59+J60</f>
        <v>25.2</v>
      </c>
      <c r="K56" s="105" t="n">
        <f aca="false">K57+K58+K59+K60</f>
        <v>52.03</v>
      </c>
      <c r="L56" s="105" t="n">
        <f aca="false">L57+L58+L59+L60</f>
        <v>146.85</v>
      </c>
      <c r="M56" s="105" t="n">
        <f aca="false">M57+M58+M59+M60</f>
        <v>38.21</v>
      </c>
      <c r="N56" s="105" t="n">
        <f aca="false">N57+N58+N59+N60</f>
        <v>4.79</v>
      </c>
      <c r="O56" s="106" t="n">
        <f aca="false">O57+O58+O59+O60</f>
        <v>76.6</v>
      </c>
      <c r="P56" s="40" t="n">
        <f aca="false">(D56+F56)*4.2+E56*9</f>
        <v>623.0115</v>
      </c>
    </row>
    <row r="57" customFormat="false" ht="12.75" hidden="false" customHeight="false" outlineLevel="0" collapsed="false">
      <c r="A57" s="93" t="s">
        <v>138</v>
      </c>
      <c r="B57" s="68" t="s">
        <v>139</v>
      </c>
      <c r="C57" s="69" t="n">
        <v>60</v>
      </c>
      <c r="D57" s="76" t="n">
        <v>4.91</v>
      </c>
      <c r="E57" s="76" t="n">
        <v>3.79</v>
      </c>
      <c r="F57" s="76" t="n">
        <v>36.09</v>
      </c>
      <c r="G57" s="76" t="n">
        <v>206.31</v>
      </c>
      <c r="H57" s="79" t="n">
        <v>0.08</v>
      </c>
      <c r="I57" s="79" t="n">
        <v>0.6</v>
      </c>
      <c r="J57" s="55"/>
      <c r="K57" s="79" t="n">
        <v>17.6</v>
      </c>
      <c r="L57" s="79" t="n">
        <v>13.35</v>
      </c>
      <c r="M57" s="79" t="n">
        <v>2.94</v>
      </c>
      <c r="N57" s="79" t="n">
        <v>2.26</v>
      </c>
      <c r="O57" s="40" t="n">
        <v>59</v>
      </c>
      <c r="P57" s="40" t="n">
        <f aca="false">(D57+F57)*4.2+E57*9</f>
        <v>206.31</v>
      </c>
    </row>
    <row r="58" customFormat="false" ht="24" hidden="false" customHeight="false" outlineLevel="0" collapsed="false">
      <c r="A58" s="93" t="s">
        <v>23</v>
      </c>
      <c r="B58" s="73" t="s">
        <v>140</v>
      </c>
      <c r="C58" s="59" t="n">
        <v>253</v>
      </c>
      <c r="D58" s="76" t="n">
        <f aca="false">7.26*1.25</f>
        <v>9.075</v>
      </c>
      <c r="E58" s="76" t="n">
        <f aca="false">4.25*1.25</f>
        <v>5.3125</v>
      </c>
      <c r="F58" s="76" t="n">
        <f aca="false">36.28*1.25</f>
        <v>45.35</v>
      </c>
      <c r="G58" s="76" t="n">
        <v>276.4</v>
      </c>
      <c r="H58" s="79" t="n">
        <v>0.1</v>
      </c>
      <c r="I58" s="55"/>
      <c r="J58" s="79" t="n">
        <v>25.2</v>
      </c>
      <c r="K58" s="79" t="n">
        <v>13.46</v>
      </c>
      <c r="L58" s="79" t="n">
        <v>54.84</v>
      </c>
      <c r="M58" s="79" t="n">
        <v>9.85</v>
      </c>
      <c r="N58" s="79" t="n">
        <v>0.03</v>
      </c>
      <c r="O58" s="40" t="n">
        <v>9.6</v>
      </c>
      <c r="P58" s="40" t="n">
        <f aca="false">(D58+F58)*4.2+E58*9</f>
        <v>276.3975</v>
      </c>
    </row>
    <row r="59" customFormat="false" ht="12.75" hidden="false" customHeight="false" outlineLevel="0" collapsed="false">
      <c r="A59" s="112" t="s">
        <v>35</v>
      </c>
      <c r="B59" s="113" t="s">
        <v>36</v>
      </c>
      <c r="C59" s="69" t="n">
        <v>200</v>
      </c>
      <c r="D59" s="76" t="n">
        <v>0</v>
      </c>
      <c r="E59" s="77" t="n">
        <v>0</v>
      </c>
      <c r="F59" s="76" t="n">
        <v>10</v>
      </c>
      <c r="G59" s="76" t="n">
        <v>42</v>
      </c>
      <c r="H59" s="101" t="n">
        <v>0.009</v>
      </c>
      <c r="I59" s="101" t="n">
        <v>1.52</v>
      </c>
      <c r="J59" s="102"/>
      <c r="K59" s="101" t="n">
        <v>3.57</v>
      </c>
      <c r="L59" s="101" t="n">
        <v>0.66</v>
      </c>
      <c r="M59" s="101" t="n">
        <v>0.22</v>
      </c>
      <c r="N59" s="101" t="n">
        <v>0.34</v>
      </c>
      <c r="O59" s="40" t="n">
        <v>5</v>
      </c>
      <c r="P59" s="40" t="n">
        <f aca="false">(D59+F59)*4.2+E59*9</f>
        <v>42</v>
      </c>
    </row>
    <row r="60" customFormat="false" ht="15" hidden="false" customHeight="true" outlineLevel="0" collapsed="false">
      <c r="A60" s="72"/>
      <c r="B60" s="75" t="s">
        <v>28</v>
      </c>
      <c r="C60" s="59" t="n">
        <v>40</v>
      </c>
      <c r="D60" s="76" t="n">
        <v>3.04</v>
      </c>
      <c r="E60" s="74" t="n">
        <v>0.32</v>
      </c>
      <c r="F60" s="76" t="n">
        <v>19.68</v>
      </c>
      <c r="G60" s="76" t="n">
        <v>98.34</v>
      </c>
      <c r="H60" s="60" t="n">
        <v>0.1</v>
      </c>
      <c r="I60" s="55"/>
      <c r="J60" s="55"/>
      <c r="K60" s="79" t="n">
        <v>17.4</v>
      </c>
      <c r="L60" s="55" t="n">
        <v>78</v>
      </c>
      <c r="M60" s="55" t="n">
        <v>25.2</v>
      </c>
      <c r="N60" s="60" t="n">
        <v>2.16</v>
      </c>
      <c r="O60" s="40" t="n">
        <v>3</v>
      </c>
      <c r="P60" s="40" t="n">
        <f aca="false">(D60+F60)*4.2+E60*9</f>
        <v>98.304</v>
      </c>
    </row>
    <row r="61" customFormat="false" ht="15" hidden="false" customHeight="true" outlineLevel="0" collapsed="false">
      <c r="A61" s="72"/>
      <c r="B61" s="75"/>
      <c r="C61" s="119" t="n">
        <f aca="false">SUM(C57:C60)</f>
        <v>553</v>
      </c>
      <c r="D61" s="76"/>
      <c r="E61" s="74"/>
      <c r="F61" s="76"/>
      <c r="G61" s="76"/>
      <c r="H61" s="60"/>
      <c r="I61" s="55"/>
      <c r="J61" s="55"/>
      <c r="K61" s="79"/>
      <c r="L61" s="55"/>
      <c r="M61" s="55"/>
      <c r="N61" s="60"/>
      <c r="P61" s="40" t="n">
        <f aca="false">(D61+F61)*4.2+E61*9</f>
        <v>0</v>
      </c>
    </row>
    <row r="62" customFormat="false" ht="15" hidden="false" customHeight="true" outlineLevel="0" collapsed="false">
      <c r="A62" s="72"/>
      <c r="B62" s="191" t="s">
        <v>81</v>
      </c>
      <c r="C62" s="119"/>
      <c r="D62" s="105" t="n">
        <f aca="false">D63+D64+D65+D66+D67</f>
        <v>29.1484</v>
      </c>
      <c r="E62" s="105" t="n">
        <f aca="false">E63+E64+E65+E66+E67</f>
        <v>34.2452</v>
      </c>
      <c r="F62" s="105" t="n">
        <f aca="false">F63+F64+F65+F66+F67</f>
        <v>86.6714</v>
      </c>
      <c r="G62" s="105" t="n">
        <f aca="false">G63+G64+G65+G66+G67</f>
        <v>816.81</v>
      </c>
      <c r="H62" s="105" t="e">
        <f aca="false">H63+H64+H65+#REF!+H66+H67</f>
        <v>#REF!</v>
      </c>
      <c r="I62" s="105" t="e">
        <f aca="false">I63+I64+I65+#REF!+I66+I67</f>
        <v>#REF!</v>
      </c>
      <c r="J62" s="105" t="e">
        <f aca="false">J63+J64+J65+#REF!+J66+J67</f>
        <v>#REF!</v>
      </c>
      <c r="K62" s="105" t="e">
        <f aca="false">K63+K64+K65+#REF!+K66+K67</f>
        <v>#REF!</v>
      </c>
      <c r="L62" s="105" t="e">
        <f aca="false">L63+L64+L65+#REF!+L66+L67</f>
        <v>#REF!</v>
      </c>
      <c r="M62" s="105" t="e">
        <f aca="false">M63+M64+M65+#REF!+M66+M67</f>
        <v>#REF!</v>
      </c>
      <c r="N62" s="105" t="e">
        <f aca="false">N63+N64+N65+#REF!+N66+N67</f>
        <v>#REF!</v>
      </c>
      <c r="O62" s="106" t="e">
        <f aca="false">O63+O64+O65+#REF!+O66+O67</f>
        <v>#REF!</v>
      </c>
      <c r="P62" s="40" t="n">
        <f aca="false">(D62+F62)*4.2+E62*9</f>
        <v>794.64996</v>
      </c>
    </row>
    <row r="63" customFormat="false" ht="15" hidden="false" customHeight="true" outlineLevel="0" collapsed="false">
      <c r="A63" s="124" t="s">
        <v>107</v>
      </c>
      <c r="B63" s="107" t="s">
        <v>108</v>
      </c>
      <c r="C63" s="93" t="n">
        <v>100</v>
      </c>
      <c r="D63" s="125" t="n">
        <f aca="false">0.74*1.66</f>
        <v>1.2284</v>
      </c>
      <c r="E63" s="125" t="n">
        <f aca="false">0.06*1.67</f>
        <v>0.1002</v>
      </c>
      <c r="F63" s="125" t="n">
        <f aca="false">6.92*1.67</f>
        <v>11.5564</v>
      </c>
      <c r="G63" s="125" t="n">
        <f aca="false">33*1.67</f>
        <v>55.11</v>
      </c>
      <c r="H63" s="74" t="n">
        <v>0.03</v>
      </c>
      <c r="I63" s="74" t="n">
        <v>5.8</v>
      </c>
      <c r="J63" s="74"/>
      <c r="K63" s="74" t="n">
        <v>18.74</v>
      </c>
      <c r="L63" s="74" t="n">
        <v>25.96</v>
      </c>
      <c r="M63" s="74" t="n">
        <v>11.72</v>
      </c>
      <c r="N63" s="74" t="n">
        <v>0.5</v>
      </c>
      <c r="O63" s="91" t="n">
        <v>11.4</v>
      </c>
      <c r="P63" s="40" t="n">
        <f aca="false">(D63+F63)*4.2+E63*9</f>
        <v>54.59796</v>
      </c>
    </row>
    <row r="64" customFormat="false" ht="12.75" hidden="false" customHeight="true" outlineLevel="0" collapsed="false">
      <c r="A64" s="120" t="s">
        <v>103</v>
      </c>
      <c r="B64" s="73" t="s">
        <v>205</v>
      </c>
      <c r="C64" s="59" t="n">
        <v>250</v>
      </c>
      <c r="D64" s="74" t="n">
        <f aca="false">5.52*1.25</f>
        <v>6.9</v>
      </c>
      <c r="E64" s="74" t="n">
        <f aca="false">14.18*1.25</f>
        <v>17.725</v>
      </c>
      <c r="F64" s="74" t="n">
        <f aca="false">10.9*1.25</f>
        <v>13.625</v>
      </c>
      <c r="G64" s="74" t="n">
        <v>267.32</v>
      </c>
      <c r="H64" s="74" t="s">
        <v>206</v>
      </c>
      <c r="I64" s="74" t="s">
        <v>207</v>
      </c>
      <c r="J64" s="77"/>
      <c r="K64" s="74" t="s">
        <v>208</v>
      </c>
      <c r="L64" s="74" t="s">
        <v>209</v>
      </c>
      <c r="M64" s="74" t="s">
        <v>210</v>
      </c>
      <c r="N64" s="74" t="s">
        <v>211</v>
      </c>
      <c r="O64" s="40" t="n">
        <v>9.6</v>
      </c>
      <c r="P64" s="40" t="n">
        <f aca="false">(D64+F64)*4.2+E64*9</f>
        <v>245.73</v>
      </c>
    </row>
    <row r="65" customFormat="false" ht="15" hidden="false" customHeight="true" outlineLevel="0" collapsed="false">
      <c r="A65" s="72" t="n">
        <v>209</v>
      </c>
      <c r="B65" s="73" t="s">
        <v>106</v>
      </c>
      <c r="C65" s="59" t="n">
        <v>260</v>
      </c>
      <c r="D65" s="74" t="n">
        <v>18.35</v>
      </c>
      <c r="E65" s="74" t="n">
        <v>16.26</v>
      </c>
      <c r="F65" s="74" t="n">
        <v>39.62</v>
      </c>
      <c r="G65" s="74" t="n">
        <v>389.81</v>
      </c>
      <c r="H65" s="74" t="s">
        <v>194</v>
      </c>
      <c r="I65" s="74" t="s">
        <v>212</v>
      </c>
      <c r="J65" s="77"/>
      <c r="K65" s="74" t="s">
        <v>213</v>
      </c>
      <c r="L65" s="74" t="s">
        <v>214</v>
      </c>
      <c r="M65" s="74" t="s">
        <v>215</v>
      </c>
      <c r="N65" s="74" t="s">
        <v>216</v>
      </c>
      <c r="O65" s="40" t="n">
        <v>35.7</v>
      </c>
      <c r="P65" s="40" t="n">
        <f aca="false">(D65+F65)*4.2+E65*9</f>
        <v>389.814</v>
      </c>
    </row>
    <row r="66" customFormat="false" ht="17.25" hidden="false" customHeight="true" outlineLevel="0" collapsed="false">
      <c r="A66" s="126" t="s">
        <v>42</v>
      </c>
      <c r="B66" s="68" t="s">
        <v>70</v>
      </c>
      <c r="C66" s="69" t="n">
        <v>200</v>
      </c>
      <c r="D66" s="76" t="n">
        <v>1.15</v>
      </c>
      <c r="E66" s="77"/>
      <c r="F66" s="76" t="n">
        <v>12.03</v>
      </c>
      <c r="G66" s="76" t="n">
        <v>55.4</v>
      </c>
      <c r="H66" s="127" t="n">
        <v>0.01</v>
      </c>
      <c r="I66" s="127" t="n">
        <v>0.65</v>
      </c>
      <c r="J66" s="128"/>
      <c r="K66" s="127" t="n">
        <v>19.23</v>
      </c>
      <c r="L66" s="128"/>
      <c r="M66" s="128"/>
      <c r="N66" s="127" t="n">
        <v>0.72</v>
      </c>
      <c r="O66" s="40" t="n">
        <v>7</v>
      </c>
      <c r="P66" s="40" t="n">
        <f aca="false">(D66+F66)*4.2+E66*9</f>
        <v>55.356</v>
      </c>
    </row>
    <row r="67" customFormat="false" ht="15" hidden="false" customHeight="true" outlineLevel="0" collapsed="false">
      <c r="A67" s="72"/>
      <c r="B67" s="75" t="s">
        <v>28</v>
      </c>
      <c r="C67" s="59" t="n">
        <v>20</v>
      </c>
      <c r="D67" s="76" t="n">
        <v>1.52</v>
      </c>
      <c r="E67" s="74" t="n">
        <v>0.16</v>
      </c>
      <c r="F67" s="76" t="n">
        <v>9.84</v>
      </c>
      <c r="G67" s="76" t="n">
        <v>49.17</v>
      </c>
      <c r="H67" s="74" t="n">
        <v>0.04</v>
      </c>
      <c r="I67" s="77"/>
      <c r="J67" s="77"/>
      <c r="K67" s="76" t="n">
        <v>7.25</v>
      </c>
      <c r="L67" s="77" t="n">
        <v>32.5</v>
      </c>
      <c r="M67" s="77" t="n">
        <v>10.5</v>
      </c>
      <c r="N67" s="74" t="n">
        <v>0.9</v>
      </c>
      <c r="O67" s="40" t="n">
        <v>3</v>
      </c>
      <c r="P67" s="40" t="n">
        <f aca="false">(D67+F67)*4.2+E67*9</f>
        <v>49.152</v>
      </c>
    </row>
    <row r="68" customFormat="false" ht="15" hidden="false" customHeight="true" outlineLevel="0" collapsed="false">
      <c r="A68" s="72"/>
      <c r="B68" s="122"/>
      <c r="C68" s="119" t="n">
        <f aca="false">SUM(C63:C67)</f>
        <v>830</v>
      </c>
      <c r="D68" s="76"/>
      <c r="E68" s="74"/>
      <c r="F68" s="76"/>
      <c r="G68" s="76"/>
      <c r="H68" s="74"/>
      <c r="I68" s="77"/>
      <c r="J68" s="77"/>
      <c r="K68" s="76"/>
      <c r="L68" s="77"/>
      <c r="M68" s="77"/>
      <c r="N68" s="74"/>
      <c r="P68" s="40" t="n">
        <f aca="false">(D68+F68)*4.2+E68*9</f>
        <v>0</v>
      </c>
    </row>
    <row r="69" customFormat="false" ht="12.75" hidden="false" customHeight="false" outlineLevel="0" collapsed="false">
      <c r="A69" s="65" t="s">
        <v>217</v>
      </c>
      <c r="B69" s="66" t="s">
        <v>170</v>
      </c>
      <c r="C69" s="66"/>
      <c r="D69" s="105" t="n">
        <f aca="false">D70+D76</f>
        <v>47.968</v>
      </c>
      <c r="E69" s="105" t="n">
        <f aca="false">E70+E76</f>
        <v>41.6697</v>
      </c>
      <c r="F69" s="105" t="n">
        <f aca="false">F70+F76</f>
        <v>209.28775</v>
      </c>
      <c r="G69" s="105" t="n">
        <f aca="false">G70+G76</f>
        <v>1459.1035</v>
      </c>
      <c r="H69" s="105" t="n">
        <f aca="false">H70+H76</f>
        <v>0.66</v>
      </c>
      <c r="I69" s="105" t="n">
        <f aca="false">I70+I76</f>
        <v>70.66</v>
      </c>
      <c r="J69" s="105" t="n">
        <f aca="false">J70+J76</f>
        <v>16</v>
      </c>
      <c r="K69" s="105" t="n">
        <f aca="false">K70+K76</f>
        <v>423.51</v>
      </c>
      <c r="L69" s="105" t="n">
        <f aca="false">L70+L76</f>
        <v>173.92</v>
      </c>
      <c r="M69" s="105" t="n">
        <f aca="false">M70+M76</f>
        <v>63.46</v>
      </c>
      <c r="N69" s="105" t="n">
        <f aca="false">N70+N76</f>
        <v>10.28</v>
      </c>
      <c r="O69" s="106" t="n">
        <f aca="false">O70+O76</f>
        <v>184.4</v>
      </c>
      <c r="P69" s="40" t="n">
        <f aca="false">(D69+F69)*4.2+E69*9</f>
        <v>1455.50145</v>
      </c>
    </row>
    <row r="70" customFormat="false" ht="12.75" hidden="false" customHeight="false" outlineLevel="0" collapsed="false">
      <c r="A70" s="65"/>
      <c r="B70" s="193" t="s">
        <v>18</v>
      </c>
      <c r="C70" s="62"/>
      <c r="D70" s="105" t="n">
        <f aca="false">D71+D72+D73+D74</f>
        <v>15.64</v>
      </c>
      <c r="E70" s="105" t="n">
        <f aca="false">E71+E72+E73+E74</f>
        <v>9.62</v>
      </c>
      <c r="F70" s="105" t="n">
        <f aca="false">F71+F72+F73+F74</f>
        <v>94.05</v>
      </c>
      <c r="G70" s="105" t="n">
        <f aca="false">G71+G72+G73+G74</f>
        <v>547.325</v>
      </c>
      <c r="H70" s="105" t="n">
        <f aca="false">H71+H72+H73+H74</f>
        <v>0.16</v>
      </c>
      <c r="I70" s="105" t="n">
        <f aca="false">I71+I72+I73+I74</f>
        <v>16.88</v>
      </c>
      <c r="J70" s="105" t="n">
        <f aca="false">J71+J72+J73+J74</f>
        <v>16</v>
      </c>
      <c r="K70" s="105" t="n">
        <f aca="false">K71+K72+K73+K74</f>
        <v>316.85</v>
      </c>
      <c r="L70" s="105" t="n">
        <f aca="false">L71+L72+L73+L74</f>
        <v>8.2</v>
      </c>
      <c r="M70" s="105" t="n">
        <f aca="false">M71+M72+M73+M74</f>
        <v>1.48</v>
      </c>
      <c r="N70" s="105" t="n">
        <f aca="false">N71+N72+N73+N74</f>
        <v>4.75</v>
      </c>
      <c r="O70" s="106" t="n">
        <f aca="false">O71+O72+O73+O74</f>
        <v>95</v>
      </c>
      <c r="P70" s="40" t="n">
        <f aca="false">(D70+F70)*4.2+E70*9</f>
        <v>547.278</v>
      </c>
    </row>
    <row r="71" customFormat="false" ht="12.75" hidden="false" customHeight="false" outlineLevel="0" collapsed="false">
      <c r="A71" s="114"/>
      <c r="B71" s="115" t="s">
        <v>45</v>
      </c>
      <c r="C71" s="116" t="n">
        <v>100</v>
      </c>
      <c r="D71" s="117" t="n">
        <v>0.4</v>
      </c>
      <c r="E71" s="117" t="n">
        <v>0</v>
      </c>
      <c r="F71" s="117" t="n">
        <v>9.8</v>
      </c>
      <c r="G71" s="117" t="n">
        <v>42.84</v>
      </c>
      <c r="H71" s="79" t="n">
        <v>0.07</v>
      </c>
      <c r="I71" s="79" t="n">
        <v>0.88</v>
      </c>
      <c r="J71" s="79" t="n">
        <v>16</v>
      </c>
      <c r="K71" s="79" t="n">
        <v>283.18</v>
      </c>
      <c r="L71" s="79" t="n">
        <v>8.2</v>
      </c>
      <c r="M71" s="79" t="n">
        <v>1.48</v>
      </c>
      <c r="N71" s="79" t="n">
        <v>0.71</v>
      </c>
      <c r="O71" s="40" t="n">
        <v>66</v>
      </c>
      <c r="P71" s="40" t="n">
        <f aca="false">(D71+F71)*4.2+E71*9</f>
        <v>42.84</v>
      </c>
    </row>
    <row r="72" customFormat="false" ht="12.75" hidden="false" customHeight="false" outlineLevel="0" collapsed="false">
      <c r="A72" s="94" t="s">
        <v>141</v>
      </c>
      <c r="B72" s="129" t="s">
        <v>142</v>
      </c>
      <c r="C72" s="69" t="n">
        <v>203</v>
      </c>
      <c r="D72" s="76" t="n">
        <v>11.44</v>
      </c>
      <c r="E72" s="76" t="n">
        <v>9.22</v>
      </c>
      <c r="F72" s="76" t="n">
        <v>49.65</v>
      </c>
      <c r="G72" s="76" t="n">
        <v>339.56</v>
      </c>
      <c r="H72" s="55"/>
      <c r="I72" s="55"/>
      <c r="J72" s="55"/>
      <c r="K72" s="79" t="n">
        <v>0.47</v>
      </c>
      <c r="L72" s="55"/>
      <c r="M72" s="55"/>
      <c r="N72" s="79" t="n">
        <v>0.04</v>
      </c>
      <c r="O72" s="40" t="n">
        <v>3</v>
      </c>
      <c r="P72" s="40" t="n">
        <f aca="false">(D72+F72)*4.2+E72*9</f>
        <v>339.558</v>
      </c>
    </row>
    <row r="73" customFormat="false" ht="12.75" hidden="false" customHeight="false" outlineLevel="0" collapsed="false">
      <c r="A73" s="130" t="s">
        <v>35</v>
      </c>
      <c r="B73" s="75" t="s">
        <v>36</v>
      </c>
      <c r="C73" s="81" t="n">
        <v>200</v>
      </c>
      <c r="D73" s="76" t="n">
        <v>0</v>
      </c>
      <c r="E73" s="74" t="n">
        <v>0</v>
      </c>
      <c r="F73" s="76" t="n">
        <v>10</v>
      </c>
      <c r="G73" s="76" t="n">
        <v>42</v>
      </c>
      <c r="H73" s="60" t="n">
        <v>0.04</v>
      </c>
      <c r="I73" s="55"/>
      <c r="J73" s="55"/>
      <c r="K73" s="79" t="n">
        <v>7.6</v>
      </c>
      <c r="L73" s="55"/>
      <c r="M73" s="55"/>
      <c r="N73" s="60" t="n">
        <v>0.48</v>
      </c>
      <c r="O73" s="40" t="n">
        <v>4</v>
      </c>
      <c r="P73" s="40" t="n">
        <f aca="false">(D73+F73)*4.2+E73*9</f>
        <v>42</v>
      </c>
    </row>
    <row r="74" customFormat="false" ht="13.5" hidden="false" customHeight="true" outlineLevel="0" collapsed="false">
      <c r="A74" s="72"/>
      <c r="B74" s="122" t="s">
        <v>28</v>
      </c>
      <c r="C74" s="59" t="n">
        <v>50</v>
      </c>
      <c r="D74" s="76" t="n">
        <f aca="false">3.04*1.25</f>
        <v>3.8</v>
      </c>
      <c r="E74" s="74" t="n">
        <f aca="false">0.32*1.25</f>
        <v>0.4</v>
      </c>
      <c r="F74" s="76" t="n">
        <f aca="false">19.68*1.25</f>
        <v>24.6</v>
      </c>
      <c r="G74" s="76" t="n">
        <f aca="false">98.34*1.25</f>
        <v>122.925</v>
      </c>
      <c r="H74" s="79" t="n">
        <v>0.05</v>
      </c>
      <c r="I74" s="60" t="n">
        <v>16</v>
      </c>
      <c r="J74" s="55"/>
      <c r="K74" s="60" t="n">
        <v>25.6</v>
      </c>
      <c r="L74" s="55"/>
      <c r="M74" s="55"/>
      <c r="N74" s="60" t="n">
        <v>3.52</v>
      </c>
      <c r="O74" s="40" t="n">
        <v>22</v>
      </c>
      <c r="P74" s="40" t="n">
        <f aca="false">(D74+F74)*4.2+E74*9</f>
        <v>122.88</v>
      </c>
    </row>
    <row r="75" customFormat="false" ht="12.75" hidden="false" customHeight="false" outlineLevel="0" collapsed="false">
      <c r="A75" s="121"/>
      <c r="B75" s="75"/>
      <c r="C75" s="131" t="n">
        <f aca="false">SUM(C71:C74)</f>
        <v>553</v>
      </c>
      <c r="D75" s="76"/>
      <c r="E75" s="77"/>
      <c r="F75" s="76"/>
      <c r="G75" s="76"/>
      <c r="H75" s="55"/>
      <c r="I75" s="79"/>
      <c r="J75" s="55"/>
      <c r="K75" s="79"/>
      <c r="L75" s="79"/>
      <c r="M75" s="79"/>
      <c r="N75" s="79"/>
      <c r="P75" s="40" t="n">
        <f aca="false">(D75+F75)*4.2+E75*9</f>
        <v>0</v>
      </c>
    </row>
    <row r="76" customFormat="false" ht="12.75" hidden="false" customHeight="false" outlineLevel="0" collapsed="false">
      <c r="A76" s="121"/>
      <c r="B76" s="191" t="s">
        <v>81</v>
      </c>
      <c r="C76" s="131"/>
      <c r="D76" s="105" t="n">
        <f aca="false">D77+D78+D79+D80+D81+D82</f>
        <v>32.328</v>
      </c>
      <c r="E76" s="105" t="n">
        <f aca="false">E77+E78+E79+E80+E81+E82</f>
        <v>32.0497</v>
      </c>
      <c r="F76" s="105" t="n">
        <f aca="false">F77+F78+F79+F80+F81+F82</f>
        <v>115.23775</v>
      </c>
      <c r="G76" s="105" t="n">
        <f aca="false">G77+G78+G79+G80+G81+G82</f>
        <v>911.7785</v>
      </c>
      <c r="H76" s="105" t="n">
        <f aca="false">H77+H78+H79+H80+H81</f>
        <v>0.5</v>
      </c>
      <c r="I76" s="105" t="n">
        <f aca="false">I77+I78+I79+I80+I81</f>
        <v>53.78</v>
      </c>
      <c r="J76" s="105" t="n">
        <f aca="false">J77+J78+J79+J80+J81</f>
        <v>0</v>
      </c>
      <c r="K76" s="105" t="n">
        <f aca="false">K77+K78+K79+K80+K81</f>
        <v>106.66</v>
      </c>
      <c r="L76" s="105" t="n">
        <f aca="false">L77+L78+L79+L80+L81</f>
        <v>165.72</v>
      </c>
      <c r="M76" s="105" t="n">
        <f aca="false">M77+M78+M79+M80+M81</f>
        <v>61.98</v>
      </c>
      <c r="N76" s="105" t="n">
        <f aca="false">N77+N78+N79+N80+N81</f>
        <v>5.53</v>
      </c>
      <c r="O76" s="106" t="n">
        <f aca="false">O77+O78+O79+O80+O81</f>
        <v>89.4</v>
      </c>
      <c r="P76" s="40" t="n">
        <f aca="false">(D76+F76)*4.2+E76*9</f>
        <v>908.22345</v>
      </c>
    </row>
    <row r="77" customFormat="false" ht="18.75" hidden="false" customHeight="true" outlineLevel="0" collapsed="false">
      <c r="A77" s="89" t="s">
        <v>101</v>
      </c>
      <c r="B77" s="68" t="s">
        <v>102</v>
      </c>
      <c r="C77" s="90" t="n">
        <v>100</v>
      </c>
      <c r="D77" s="76" t="n">
        <f aca="false">0.8*1.67</f>
        <v>1.336</v>
      </c>
      <c r="E77" s="76" t="n">
        <f aca="false">3.11*1.67</f>
        <v>5.1937</v>
      </c>
      <c r="F77" s="76" t="n">
        <f aca="false">5.64*1.67</f>
        <v>9.4188</v>
      </c>
      <c r="G77" s="76" t="n">
        <f aca="false">55.8*1.67</f>
        <v>93.186</v>
      </c>
      <c r="H77" s="79" t="n">
        <v>0.04</v>
      </c>
      <c r="I77" s="79" t="n">
        <v>15</v>
      </c>
      <c r="J77" s="77"/>
      <c r="K77" s="79" t="n">
        <v>8.4</v>
      </c>
      <c r="L77" s="79"/>
      <c r="M77" s="79"/>
      <c r="N77" s="79" t="n">
        <v>0.54</v>
      </c>
      <c r="O77" s="40" t="n">
        <v>10.9</v>
      </c>
      <c r="P77" s="40" t="n">
        <f aca="false">(D77+F77)*4.2+E77*9</f>
        <v>91.91346</v>
      </c>
    </row>
    <row r="78" customFormat="false" ht="12.75" hidden="false" customHeight="false" outlineLevel="0" collapsed="false">
      <c r="A78" s="72" t="s">
        <v>84</v>
      </c>
      <c r="B78" s="190" t="s">
        <v>253</v>
      </c>
      <c r="C78" s="59" t="n">
        <v>250</v>
      </c>
      <c r="D78" s="74" t="n">
        <f aca="false">3*1.25</f>
        <v>3.75</v>
      </c>
      <c r="E78" s="74" t="n">
        <f aca="false">(4.61-0.21)*1.25</f>
        <v>5.5</v>
      </c>
      <c r="F78" s="74" t="n">
        <f aca="false">(12.54-0.05)*1.255</f>
        <v>15.67495</v>
      </c>
      <c r="G78" s="74" t="n">
        <f aca="false">106.65*1.25</f>
        <v>133.3125</v>
      </c>
      <c r="H78" s="74" t="s">
        <v>171</v>
      </c>
      <c r="I78" s="74" t="s">
        <v>218</v>
      </c>
      <c r="J78" s="77"/>
      <c r="K78" s="74" t="s">
        <v>219</v>
      </c>
      <c r="L78" s="74" t="s">
        <v>220</v>
      </c>
      <c r="M78" s="74" t="s">
        <v>221</v>
      </c>
      <c r="N78" s="74" t="s">
        <v>222</v>
      </c>
      <c r="O78" s="40" t="n">
        <v>9.6</v>
      </c>
      <c r="P78" s="40" t="n">
        <f aca="false">(D78+F78)*4.2+E78*9</f>
        <v>131.08479</v>
      </c>
    </row>
    <row r="79" customFormat="false" ht="12.75" hidden="false" customHeight="false" outlineLevel="0" collapsed="false">
      <c r="A79" s="72" t="s">
        <v>223</v>
      </c>
      <c r="B79" s="129" t="s">
        <v>110</v>
      </c>
      <c r="C79" s="53" t="n">
        <v>110</v>
      </c>
      <c r="D79" s="76" t="n">
        <v>5.73</v>
      </c>
      <c r="E79" s="76" t="n">
        <v>16.34</v>
      </c>
      <c r="F79" s="76" t="n">
        <v>10.38</v>
      </c>
      <c r="G79" s="76" t="n">
        <v>215</v>
      </c>
      <c r="H79" s="69" t="n">
        <v>0.22</v>
      </c>
      <c r="I79" s="69" t="n">
        <v>27.28</v>
      </c>
      <c r="J79" s="69"/>
      <c r="K79" s="69" t="n">
        <v>29.14</v>
      </c>
      <c r="L79" s="69" t="n">
        <v>79.98</v>
      </c>
      <c r="M79" s="69" t="n">
        <v>31.56</v>
      </c>
      <c r="N79" s="69" t="n">
        <v>2.32</v>
      </c>
      <c r="O79" s="40" t="n">
        <v>59.1</v>
      </c>
      <c r="P79" s="40" t="n">
        <f aca="false">(D79+F79)*4.2+E79*9</f>
        <v>214.722</v>
      </c>
    </row>
    <row r="80" customFormat="false" ht="12.75" hidden="false" customHeight="false" outlineLevel="0" collapsed="false">
      <c r="A80" s="132" t="s">
        <v>111</v>
      </c>
      <c r="B80" s="68" t="s">
        <v>112</v>
      </c>
      <c r="C80" s="69" t="n">
        <v>180</v>
      </c>
      <c r="D80" s="76" t="n">
        <f aca="false">16.26*1.2</f>
        <v>19.512</v>
      </c>
      <c r="E80" s="133" t="n">
        <f aca="false">4.03*1.2</f>
        <v>4.836</v>
      </c>
      <c r="F80" s="76" t="n">
        <f aca="false">33.97*1.2</f>
        <v>40.764</v>
      </c>
      <c r="G80" s="76" t="n">
        <f aca="false">247.3*1.2</f>
        <v>296.76</v>
      </c>
      <c r="H80" s="76" t="n">
        <v>0.02</v>
      </c>
      <c r="I80" s="76"/>
      <c r="J80" s="77"/>
      <c r="K80" s="76" t="n">
        <v>20.32</v>
      </c>
      <c r="L80" s="76" t="n">
        <v>19.36</v>
      </c>
      <c r="M80" s="76" t="n">
        <v>8.12</v>
      </c>
      <c r="N80" s="76" t="n">
        <v>0.45</v>
      </c>
      <c r="O80" s="40" t="n">
        <v>7</v>
      </c>
      <c r="P80" s="40" t="n">
        <f aca="false">(D80+F80)*4.2+E80*9</f>
        <v>296.6832</v>
      </c>
    </row>
    <row r="81" customFormat="false" ht="29.25" hidden="false" customHeight="true" outlineLevel="0" collapsed="false">
      <c r="A81" s="72" t="s">
        <v>42</v>
      </c>
      <c r="B81" s="68" t="s">
        <v>43</v>
      </c>
      <c r="C81" s="69" t="n">
        <v>200</v>
      </c>
      <c r="D81" s="76" t="n">
        <v>1</v>
      </c>
      <c r="E81" s="76" t="n">
        <v>0.1</v>
      </c>
      <c r="F81" s="76" t="n">
        <v>31</v>
      </c>
      <c r="G81" s="76" t="n">
        <v>135</v>
      </c>
      <c r="H81" s="59" t="n">
        <v>0.04</v>
      </c>
      <c r="I81" s="93"/>
      <c r="J81" s="93"/>
      <c r="K81" s="69" t="n">
        <v>8</v>
      </c>
      <c r="L81" s="93" t="n">
        <v>26</v>
      </c>
      <c r="M81" s="93" t="n">
        <v>5.6</v>
      </c>
      <c r="N81" s="59" t="n">
        <v>0.44</v>
      </c>
      <c r="O81" s="40" t="n">
        <v>2.8</v>
      </c>
      <c r="P81" s="40" t="n">
        <f aca="false">(D81+F81)*4.2+E81*9</f>
        <v>135.3</v>
      </c>
    </row>
    <row r="82" customFormat="false" ht="12.75" hidden="false" customHeight="false" outlineLevel="0" collapsed="false">
      <c r="A82" s="67"/>
      <c r="B82" s="122" t="s">
        <v>100</v>
      </c>
      <c r="C82" s="59" t="n">
        <v>20</v>
      </c>
      <c r="D82" s="76" t="n">
        <v>1</v>
      </c>
      <c r="E82" s="74" t="n">
        <v>0.08</v>
      </c>
      <c r="F82" s="76" t="n">
        <v>8</v>
      </c>
      <c r="G82" s="76" t="n">
        <v>38.52</v>
      </c>
      <c r="H82" s="59"/>
      <c r="I82" s="93"/>
      <c r="J82" s="93"/>
      <c r="K82" s="69"/>
      <c r="L82" s="93"/>
      <c r="M82" s="93"/>
      <c r="N82" s="59"/>
      <c r="P82" s="40" t="n">
        <f aca="false">(D82+F82)*4.2+E82*9</f>
        <v>38.52</v>
      </c>
    </row>
    <row r="83" customFormat="false" ht="12.75" hidden="false" customHeight="false" outlineLevel="0" collapsed="false">
      <c r="A83" s="67"/>
      <c r="B83" s="135"/>
      <c r="C83" s="119" t="n">
        <f aca="false">SUM(C77:C82)</f>
        <v>860</v>
      </c>
      <c r="D83" s="76"/>
      <c r="E83" s="74"/>
      <c r="F83" s="76"/>
      <c r="G83" s="76"/>
      <c r="H83" s="60"/>
      <c r="I83" s="55"/>
      <c r="J83" s="55"/>
      <c r="K83" s="79"/>
      <c r="L83" s="55"/>
      <c r="M83" s="55"/>
      <c r="N83" s="60"/>
      <c r="P83" s="40" t="n">
        <f aca="false">(D83+F83)*4.2+E83*9</f>
        <v>0</v>
      </c>
    </row>
    <row r="84" customFormat="false" ht="12.75" hidden="false" customHeight="false" outlineLevel="0" collapsed="false">
      <c r="A84" s="136" t="s">
        <v>224</v>
      </c>
      <c r="B84" s="66" t="s">
        <v>170</v>
      </c>
      <c r="C84" s="66"/>
      <c r="D84" s="105" t="n">
        <f aca="false">D85+D91</f>
        <v>41.438</v>
      </c>
      <c r="E84" s="105" t="n">
        <f aca="false">E85+E91</f>
        <v>48.205</v>
      </c>
      <c r="F84" s="105" t="n">
        <f aca="false">F85+F91</f>
        <v>191.35026</v>
      </c>
      <c r="G84" s="105" t="n">
        <f aca="false">G85+G91</f>
        <v>1411.44</v>
      </c>
      <c r="H84" s="105" t="e">
        <f aca="false">H85+H91</f>
        <v>#REF!</v>
      </c>
      <c r="I84" s="105" t="e">
        <f aca="false">I85+I91</f>
        <v>#REF!</v>
      </c>
      <c r="J84" s="105" t="e">
        <f aca="false">J85+J91</f>
        <v>#REF!</v>
      </c>
      <c r="K84" s="105" t="e">
        <f aca="false">K85+K91</f>
        <v>#REF!</v>
      </c>
      <c r="L84" s="105" t="e">
        <f aca="false">L85+L91</f>
        <v>#REF!</v>
      </c>
      <c r="M84" s="105" t="e">
        <f aca="false">M85+M91</f>
        <v>#REF!</v>
      </c>
      <c r="N84" s="105" t="e">
        <f aca="false">N85+N91</f>
        <v>#REF!</v>
      </c>
      <c r="O84" s="106" t="e">
        <f aca="false">O85+O91</f>
        <v>#REF!</v>
      </c>
      <c r="P84" s="40" t="n">
        <f aca="false">(D84+F84)*4.2+E84*9</f>
        <v>1411.555692</v>
      </c>
    </row>
    <row r="85" customFormat="false" ht="12.75" hidden="false" customHeight="false" outlineLevel="0" collapsed="false">
      <c r="A85" s="137"/>
      <c r="B85" s="193" t="s">
        <v>18</v>
      </c>
      <c r="C85" s="197"/>
      <c r="D85" s="138" t="n">
        <f aca="false">D86+D87+D88+D89</f>
        <v>12.4</v>
      </c>
      <c r="E85" s="138" t="n">
        <f aca="false">E86+E87+E88+E89</f>
        <v>10.6</v>
      </c>
      <c r="F85" s="138" t="n">
        <f aca="false">F86+F87+F88+F89</f>
        <v>94.42</v>
      </c>
      <c r="G85" s="138" t="n">
        <f aca="false">G86+G87+G88+G89</f>
        <v>544.085</v>
      </c>
      <c r="H85" s="138" t="e">
        <f aca="false">H86+H87+H88+H89+#REF!</f>
        <v>#REF!</v>
      </c>
      <c r="I85" s="138" t="e">
        <f aca="false">I86+I87+I88+I89+#REF!</f>
        <v>#REF!</v>
      </c>
      <c r="J85" s="138" t="e">
        <f aca="false">J86+J87+J88+J89+#REF!</f>
        <v>#REF!</v>
      </c>
      <c r="K85" s="138" t="e">
        <f aca="false">K86+K87+K88+K89+#REF!</f>
        <v>#REF!</v>
      </c>
      <c r="L85" s="138" t="e">
        <f aca="false">L86+L87+L88+L89+#REF!</f>
        <v>#REF!</v>
      </c>
      <c r="M85" s="138" t="e">
        <f aca="false">M86+M87+M88+M89+#REF!</f>
        <v>#REF!</v>
      </c>
      <c r="N85" s="138" t="e">
        <f aca="false">N86+N87+N88+N89+#REF!</f>
        <v>#REF!</v>
      </c>
      <c r="O85" s="139" t="e">
        <f aca="false">O86+O87+O88+O89+#REF!</f>
        <v>#REF!</v>
      </c>
      <c r="P85" s="40" t="n">
        <f aca="false">(D85+F85)*4.2+E85*9</f>
        <v>544.044</v>
      </c>
      <c r="Q85" s="140" t="n">
        <f aca="false">G85-470</f>
        <v>74.085</v>
      </c>
      <c r="R85" s="40" t="n">
        <f aca="false">Q85/9</f>
        <v>8.23166666666667</v>
      </c>
    </row>
    <row r="86" customFormat="false" ht="12.75" hidden="false" customHeight="false" outlineLevel="0" collapsed="false">
      <c r="A86" s="110"/>
      <c r="B86" s="115" t="s">
        <v>45</v>
      </c>
      <c r="C86" s="116" t="n">
        <v>100</v>
      </c>
      <c r="D86" s="117" t="n">
        <v>0.4</v>
      </c>
      <c r="E86" s="117" t="n">
        <v>0</v>
      </c>
      <c r="F86" s="117" t="n">
        <v>9.8</v>
      </c>
      <c r="G86" s="117" t="n">
        <v>42.84</v>
      </c>
      <c r="H86" s="142" t="n">
        <v>0.11</v>
      </c>
      <c r="I86" s="142" t="n">
        <v>0.95</v>
      </c>
      <c r="J86" s="142" t="n">
        <v>40</v>
      </c>
      <c r="K86" s="142" t="n">
        <v>99.66</v>
      </c>
      <c r="L86" s="142" t="n">
        <v>71.29</v>
      </c>
      <c r="M86" s="142" t="n">
        <v>23.64</v>
      </c>
      <c r="N86" s="142" t="n">
        <v>0.79</v>
      </c>
      <c r="O86" s="40" t="n">
        <v>15</v>
      </c>
      <c r="P86" s="40" t="n">
        <f aca="false">(D86+F86)*4.2+E86*9</f>
        <v>42.84</v>
      </c>
    </row>
    <row r="87" customFormat="false" ht="24.75" hidden="false" customHeight="true" outlineLevel="0" collapsed="false">
      <c r="A87" s="72" t="s">
        <v>23</v>
      </c>
      <c r="B87" s="73" t="s">
        <v>54</v>
      </c>
      <c r="C87" s="59" t="n">
        <v>203</v>
      </c>
      <c r="D87" s="74" t="n">
        <v>8.2</v>
      </c>
      <c r="E87" s="74" t="n">
        <v>10.2</v>
      </c>
      <c r="F87" s="74" t="n">
        <v>50.02</v>
      </c>
      <c r="G87" s="74" t="n">
        <v>336.32</v>
      </c>
      <c r="H87" s="60" t="n">
        <v>0.03</v>
      </c>
      <c r="I87" s="60" t="n">
        <v>0.65</v>
      </c>
      <c r="J87" s="55"/>
      <c r="K87" s="60" t="n">
        <v>64.43</v>
      </c>
      <c r="L87" s="55"/>
      <c r="M87" s="55"/>
      <c r="N87" s="60" t="n">
        <v>0.4</v>
      </c>
      <c r="O87" s="40" t="n">
        <v>7.7</v>
      </c>
      <c r="P87" s="40" t="n">
        <f aca="false">(D87+F87)*4.2+E87*9</f>
        <v>336.324</v>
      </c>
      <c r="Q87" s="143"/>
      <c r="R87" s="144"/>
      <c r="S87" s="144"/>
      <c r="T87" s="144"/>
      <c r="U87" s="144"/>
      <c r="V87" s="144"/>
      <c r="W87" s="144"/>
      <c r="X87" s="108"/>
      <c r="Y87" s="144"/>
      <c r="Z87" s="144"/>
      <c r="AA87" s="144"/>
      <c r="AB87" s="144"/>
      <c r="AC87" s="144"/>
    </row>
    <row r="88" customFormat="false" ht="12" hidden="false" customHeight="true" outlineLevel="0" collapsed="false">
      <c r="A88" s="67" t="s">
        <v>35</v>
      </c>
      <c r="B88" s="75" t="s">
        <v>36</v>
      </c>
      <c r="C88" s="69" t="n">
        <v>200</v>
      </c>
      <c r="D88" s="76" t="n">
        <v>0</v>
      </c>
      <c r="E88" s="76" t="n">
        <v>0</v>
      </c>
      <c r="F88" s="76" t="n">
        <v>10</v>
      </c>
      <c r="G88" s="76" t="n">
        <v>42</v>
      </c>
      <c r="H88" s="55"/>
      <c r="I88" s="79" t="n">
        <v>0.28</v>
      </c>
      <c r="J88" s="55"/>
      <c r="K88" s="79" t="n">
        <v>100.5</v>
      </c>
      <c r="L88" s="55"/>
      <c r="M88" s="55"/>
      <c r="N88" s="79" t="n">
        <v>0.09</v>
      </c>
      <c r="O88" s="40" t="n">
        <v>9</v>
      </c>
      <c r="P88" s="40" t="n">
        <f aca="false">(D88+F88)*4.2+E88*9</f>
        <v>42</v>
      </c>
      <c r="Q88" s="143"/>
      <c r="R88" s="144"/>
      <c r="S88" s="144"/>
      <c r="T88" s="144"/>
      <c r="U88" s="144"/>
      <c r="V88" s="144"/>
      <c r="W88" s="144"/>
      <c r="X88" s="108"/>
      <c r="Y88" s="144"/>
      <c r="Z88" s="144"/>
      <c r="AA88" s="144"/>
      <c r="AB88" s="144"/>
      <c r="AC88" s="144"/>
    </row>
    <row r="89" customFormat="false" ht="12.75" hidden="false" customHeight="false" outlineLevel="0" collapsed="false">
      <c r="A89" s="80"/>
      <c r="B89" s="122" t="s">
        <v>28</v>
      </c>
      <c r="C89" s="59" t="n">
        <v>50</v>
      </c>
      <c r="D89" s="76" t="n">
        <f aca="false">3.04*1.25</f>
        <v>3.8</v>
      </c>
      <c r="E89" s="74" t="n">
        <f aca="false">0.32*1.25</f>
        <v>0.4</v>
      </c>
      <c r="F89" s="76" t="n">
        <f aca="false">19.68*1.25</f>
        <v>24.6</v>
      </c>
      <c r="G89" s="76" t="n">
        <f aca="false">98.34*1.25</f>
        <v>122.925</v>
      </c>
      <c r="H89" s="60" t="n">
        <v>0.04</v>
      </c>
      <c r="I89" s="55"/>
      <c r="J89" s="55"/>
      <c r="K89" s="79" t="n">
        <v>7.6</v>
      </c>
      <c r="L89" s="55"/>
      <c r="M89" s="55"/>
      <c r="N89" s="60" t="n">
        <v>0.48</v>
      </c>
      <c r="O89" s="145" t="n">
        <v>4</v>
      </c>
      <c r="P89" s="40" t="n">
        <f aca="false">(D89+F89)*4.2+E89*9</f>
        <v>122.88</v>
      </c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</row>
    <row r="90" customFormat="false" ht="12.75" hidden="false" customHeight="false" outlineLevel="0" collapsed="false">
      <c r="A90" s="82"/>
      <c r="B90" s="75"/>
      <c r="C90" s="86" t="n">
        <f aca="false">SUM(C86:C89)</f>
        <v>553</v>
      </c>
      <c r="D90" s="84"/>
      <c r="E90" s="85"/>
      <c r="F90" s="84"/>
      <c r="G90" s="84"/>
      <c r="H90" s="79"/>
      <c r="I90" s="60"/>
      <c r="J90" s="55"/>
      <c r="K90" s="60"/>
      <c r="L90" s="55"/>
      <c r="M90" s="55"/>
      <c r="N90" s="60"/>
      <c r="P90" s="40" t="n">
        <f aca="false">(D90+F90)*4.2+E90*9</f>
        <v>0</v>
      </c>
    </row>
    <row r="91" customFormat="false" ht="12.75" hidden="false" customHeight="false" outlineLevel="0" collapsed="false">
      <c r="A91" s="82"/>
      <c r="B91" s="191" t="s">
        <v>81</v>
      </c>
      <c r="C91" s="86"/>
      <c r="D91" s="88" t="n">
        <f aca="false">D92+D93+D94+D95+D96</f>
        <v>29.038</v>
      </c>
      <c r="E91" s="88" t="n">
        <f aca="false">E92+E93+E94+E95+E96</f>
        <v>37.605</v>
      </c>
      <c r="F91" s="88" t="n">
        <f aca="false">F92+F93+F94+F95+F96</f>
        <v>96.93026</v>
      </c>
      <c r="G91" s="88" t="n">
        <f aca="false">G92+G93+G94+G95+G96</f>
        <v>867.355</v>
      </c>
      <c r="H91" s="88" t="e">
        <f aca="false">H92+H93+H94+H95+#REF!+H96</f>
        <v>#REF!</v>
      </c>
      <c r="I91" s="88" t="e">
        <f aca="false">I92+I93+I94+I95+#REF!+I96</f>
        <v>#REF!</v>
      </c>
      <c r="J91" s="88" t="e">
        <f aca="false">J92+J93+J94+J95+#REF!+J96</f>
        <v>#REF!</v>
      </c>
      <c r="K91" s="88" t="e">
        <f aca="false">K92+K93+K94+K95+#REF!+K96</f>
        <v>#REF!</v>
      </c>
      <c r="L91" s="88" t="e">
        <f aca="false">L92+L93+L94+L95+#REF!+L96</f>
        <v>#REF!</v>
      </c>
      <c r="M91" s="88" t="e">
        <f aca="false">M92+M93+M94+M95+#REF!+M96</f>
        <v>#REF!</v>
      </c>
      <c r="N91" s="88" t="e">
        <f aca="false">N92+N93+N94+N95+#REF!+N96</f>
        <v>#REF!</v>
      </c>
      <c r="O91" s="146" t="e">
        <f aca="false">O92+O93+O94+O95+#REF!+O96</f>
        <v>#REF!</v>
      </c>
      <c r="P91" s="40" t="n">
        <f aca="false">(D91+F91)*4.2+E91*9</f>
        <v>867.511692</v>
      </c>
      <c r="Q91" s="140" t="n">
        <f aca="false">P91-705</f>
        <v>162.511692</v>
      </c>
      <c r="R91" s="40" t="n">
        <f aca="false">Q91/9</f>
        <v>18.0568546666667</v>
      </c>
    </row>
    <row r="92" customFormat="false" ht="16.5" hidden="false" customHeight="true" outlineLevel="0" collapsed="false">
      <c r="A92" s="53" t="s">
        <v>38</v>
      </c>
      <c r="B92" s="198" t="s">
        <v>39</v>
      </c>
      <c r="C92" s="69" t="n">
        <v>100</v>
      </c>
      <c r="D92" s="77" t="n">
        <f aca="false">0.9*1.67</f>
        <v>1.503</v>
      </c>
      <c r="E92" s="77" t="n">
        <v>0.06</v>
      </c>
      <c r="F92" s="77" t="n">
        <f aca="false">8.28*1.667</f>
        <v>13.80276</v>
      </c>
      <c r="G92" s="77" t="n">
        <v>64.28</v>
      </c>
      <c r="H92" s="74" t="n">
        <v>0.02</v>
      </c>
      <c r="I92" s="74" t="n">
        <v>2.3</v>
      </c>
      <c r="J92" s="74" t="n">
        <v>443</v>
      </c>
      <c r="K92" s="74" t="n">
        <v>14</v>
      </c>
      <c r="L92" s="74" t="n">
        <v>28</v>
      </c>
      <c r="M92" s="74" t="n">
        <v>17</v>
      </c>
      <c r="N92" s="74" t="n">
        <v>0.45</v>
      </c>
      <c r="O92" s="40" t="n">
        <v>9.2</v>
      </c>
      <c r="P92" s="40" t="n">
        <f aca="false">(D92+F92)*4.2+E92*9</f>
        <v>64.824192</v>
      </c>
      <c r="S92" s="147"/>
      <c r="T92" s="148"/>
      <c r="U92" s="149"/>
      <c r="V92" s="149"/>
      <c r="W92" s="149"/>
      <c r="X92" s="149"/>
      <c r="Y92" s="149"/>
      <c r="Z92" s="144"/>
      <c r="AA92" s="144"/>
      <c r="AB92" s="144"/>
      <c r="AC92" s="144"/>
      <c r="AD92" s="144"/>
      <c r="AE92" s="144"/>
      <c r="AF92" s="144"/>
    </row>
    <row r="93" customFormat="false" ht="28.5" hidden="false" customHeight="true" outlineLevel="0" collapsed="false">
      <c r="A93" s="72" t="s">
        <v>113</v>
      </c>
      <c r="B93" s="73" t="s">
        <v>225</v>
      </c>
      <c r="C93" s="59" t="n">
        <v>250</v>
      </c>
      <c r="D93" s="74" t="n">
        <f aca="false">3.1*1.25</f>
        <v>3.875</v>
      </c>
      <c r="E93" s="74" t="n">
        <f aca="false">4.02*1.25</f>
        <v>5.025</v>
      </c>
      <c r="F93" s="74" t="n">
        <f aca="false">16.92*1.25</f>
        <v>21.15</v>
      </c>
      <c r="G93" s="74" t="n">
        <f aca="false">120.26*1.25</f>
        <v>150.325</v>
      </c>
      <c r="H93" s="74" t="s">
        <v>226</v>
      </c>
      <c r="I93" s="74" t="s">
        <v>227</v>
      </c>
      <c r="J93" s="77"/>
      <c r="K93" s="74" t="s">
        <v>228</v>
      </c>
      <c r="L93" s="74" t="s">
        <v>229</v>
      </c>
      <c r="M93" s="74" t="s">
        <v>230</v>
      </c>
      <c r="N93" s="74" t="s">
        <v>231</v>
      </c>
      <c r="O93" s="40" t="n">
        <v>11.2</v>
      </c>
      <c r="P93" s="40" t="n">
        <f aca="false">(D93+F93)*4.2+E93*9</f>
        <v>150.33</v>
      </c>
      <c r="S93" s="150"/>
      <c r="T93" s="151"/>
      <c r="U93" s="152"/>
      <c r="V93" s="153"/>
      <c r="W93" s="153"/>
      <c r="X93" s="153"/>
      <c r="Y93" s="153"/>
      <c r="Z93" s="153"/>
      <c r="AA93" s="153"/>
      <c r="AB93" s="108"/>
      <c r="AC93" s="153"/>
      <c r="AD93" s="153"/>
      <c r="AE93" s="153"/>
      <c r="AF93" s="144"/>
    </row>
    <row r="94" customFormat="false" ht="12.75" hidden="false" customHeight="false" outlineLevel="0" collapsed="false">
      <c r="A94" s="121" t="n">
        <v>218</v>
      </c>
      <c r="B94" s="75" t="s">
        <v>116</v>
      </c>
      <c r="C94" s="69" t="n">
        <v>250</v>
      </c>
      <c r="D94" s="76" t="n">
        <f aca="false">16.48*1.25</f>
        <v>20.6</v>
      </c>
      <c r="E94" s="76" t="n">
        <f aca="false">25.76*1.25</f>
        <v>32.2</v>
      </c>
      <c r="F94" s="76" t="n">
        <f aca="false">10.39*1.25</f>
        <v>12.9875</v>
      </c>
      <c r="G94" s="76" t="n">
        <f aca="false">345*1.25</f>
        <v>431.25</v>
      </c>
      <c r="H94" s="69" t="n">
        <v>0.09</v>
      </c>
      <c r="I94" s="69" t="n">
        <v>0.94</v>
      </c>
      <c r="J94" s="69"/>
      <c r="K94" s="69" t="n">
        <v>50</v>
      </c>
      <c r="L94" s="69" t="n">
        <v>87.8</v>
      </c>
      <c r="M94" s="69" t="n">
        <v>18.72</v>
      </c>
      <c r="N94" s="69" t="n">
        <v>1.28</v>
      </c>
      <c r="O94" s="40" t="n">
        <v>39</v>
      </c>
      <c r="P94" s="40" t="n">
        <f aca="false">(D94+F94)*4.2+E94*9</f>
        <v>430.8675</v>
      </c>
    </row>
    <row r="95" customFormat="false" ht="24" hidden="false" customHeight="false" outlineLevel="0" collapsed="false">
      <c r="A95" s="92" t="s">
        <v>117</v>
      </c>
      <c r="B95" s="68" t="s">
        <v>118</v>
      </c>
      <c r="C95" s="69" t="n">
        <v>200</v>
      </c>
      <c r="D95" s="76" t="n">
        <v>0.02</v>
      </c>
      <c r="E95" s="76"/>
      <c r="F95" s="76" t="n">
        <v>29.31</v>
      </c>
      <c r="G95" s="76" t="n">
        <v>123.16</v>
      </c>
      <c r="H95" s="69" t="n">
        <v>0.15</v>
      </c>
      <c r="I95" s="93" t="n">
        <v>21</v>
      </c>
      <c r="J95" s="69"/>
      <c r="K95" s="69" t="n">
        <v>14.64</v>
      </c>
      <c r="L95" s="69" t="n">
        <v>79.73</v>
      </c>
      <c r="M95" s="69" t="n">
        <v>29.33</v>
      </c>
      <c r="N95" s="69" t="n">
        <v>1.16</v>
      </c>
      <c r="O95" s="40" t="n">
        <v>23</v>
      </c>
      <c r="P95" s="40" t="n">
        <f aca="false">(D95+F95)*4.2+E95*9</f>
        <v>123.186</v>
      </c>
      <c r="Q95" s="154"/>
      <c r="R95" s="155"/>
      <c r="S95" s="149"/>
      <c r="T95" s="149"/>
      <c r="U95" s="149"/>
      <c r="V95" s="149"/>
      <c r="W95" s="149"/>
      <c r="X95" s="149"/>
      <c r="Y95" s="156"/>
      <c r="Z95" s="149"/>
      <c r="AA95" s="149"/>
      <c r="AB95" s="149"/>
      <c r="AC95" s="149"/>
      <c r="AD95" s="149"/>
    </row>
    <row r="96" customFormat="false" ht="12.75" hidden="false" customHeight="false" outlineLevel="0" collapsed="false">
      <c r="A96" s="72"/>
      <c r="B96" s="75" t="s">
        <v>28</v>
      </c>
      <c r="C96" s="83" t="n">
        <v>40</v>
      </c>
      <c r="D96" s="84" t="n">
        <v>3.04</v>
      </c>
      <c r="E96" s="85" t="n">
        <v>0.32</v>
      </c>
      <c r="F96" s="84" t="n">
        <v>19.68</v>
      </c>
      <c r="G96" s="84" t="n">
        <v>98.34</v>
      </c>
      <c r="H96" s="74" t="n">
        <v>0.04</v>
      </c>
      <c r="I96" s="77"/>
      <c r="J96" s="77"/>
      <c r="K96" s="76" t="n">
        <v>7.25</v>
      </c>
      <c r="L96" s="77" t="n">
        <v>32.5</v>
      </c>
      <c r="M96" s="77" t="n">
        <v>10.5</v>
      </c>
      <c r="N96" s="74" t="n">
        <v>0.9</v>
      </c>
      <c r="O96" s="40" t="n">
        <v>3</v>
      </c>
      <c r="P96" s="40" t="n">
        <f aca="false">(D96+F96)*4.2+E96*9</f>
        <v>98.304</v>
      </c>
    </row>
    <row r="97" customFormat="false" ht="12.75" hidden="false" customHeight="false" outlineLevel="0" collapsed="false">
      <c r="A97" s="72"/>
      <c r="B97" s="75"/>
      <c r="C97" s="119" t="n">
        <f aca="false">SUM(C92:C96)</f>
        <v>840</v>
      </c>
      <c r="D97" s="76"/>
      <c r="E97" s="74"/>
      <c r="F97" s="76"/>
      <c r="G97" s="76"/>
      <c r="H97" s="74"/>
      <c r="I97" s="77"/>
      <c r="J97" s="77"/>
      <c r="K97" s="76"/>
      <c r="L97" s="77"/>
      <c r="M97" s="77"/>
      <c r="N97" s="74"/>
      <c r="P97" s="40" t="n">
        <f aca="false">(D97+F97)*4.2+E97*9</f>
        <v>0</v>
      </c>
    </row>
    <row r="98" customFormat="false" ht="12.75" hidden="false" customHeight="false" outlineLevel="0" collapsed="false">
      <c r="A98" s="66" t="s">
        <v>55</v>
      </c>
      <c r="B98" s="66"/>
      <c r="C98" s="66"/>
      <c r="D98" s="105" t="n">
        <f aca="false">D99+D105</f>
        <v>41.0263</v>
      </c>
      <c r="E98" s="105" t="n">
        <f aca="false">E99+E105</f>
        <v>49.8979</v>
      </c>
      <c r="F98" s="105" t="n">
        <f aca="false">F99+F105</f>
        <v>229.9656</v>
      </c>
      <c r="G98" s="105" t="n">
        <f aca="false">G99+G105</f>
        <v>1613.076</v>
      </c>
      <c r="H98" s="105" t="e">
        <f aca="false">H99+H105</f>
        <v>#REF!</v>
      </c>
      <c r="I98" s="105" t="e">
        <f aca="false">I99+I105</f>
        <v>#REF!</v>
      </c>
      <c r="J98" s="105" t="e">
        <f aca="false">J99+J105</f>
        <v>#REF!</v>
      </c>
      <c r="K98" s="105" t="e">
        <f aca="false">K99+K105</f>
        <v>#REF!</v>
      </c>
      <c r="L98" s="105" t="e">
        <f aca="false">L99+L105</f>
        <v>#REF!</v>
      </c>
      <c r="M98" s="105" t="e">
        <f aca="false">M99+M105</f>
        <v>#REF!</v>
      </c>
      <c r="N98" s="105" t="e">
        <f aca="false">N99+N105</f>
        <v>#REF!</v>
      </c>
      <c r="O98" s="106" t="e">
        <f aca="false">O99+O105</f>
        <v>#REF!</v>
      </c>
      <c r="P98" s="40" t="n">
        <f aca="false">(D98+F98)*4.2+E98*9</f>
        <v>1587.24708</v>
      </c>
    </row>
    <row r="99" customFormat="false" ht="12.75" hidden="false" customHeight="false" outlineLevel="0" collapsed="false">
      <c r="A99" s="157"/>
      <c r="B99" s="193" t="s">
        <v>18</v>
      </c>
      <c r="C99" s="66"/>
      <c r="D99" s="105" t="n">
        <f aca="false">D100+D101+D102+D103</f>
        <v>19.1697</v>
      </c>
      <c r="E99" s="105" t="n">
        <f aca="false">E100+E101+E102+E103</f>
        <v>11.3893</v>
      </c>
      <c r="F99" s="105" t="n">
        <f aca="false">F100+F101+F102+F103</f>
        <v>141.0103</v>
      </c>
      <c r="G99" s="105" t="n">
        <f aca="false">G100+G101+G102+G103</f>
        <v>776.031</v>
      </c>
      <c r="H99" s="131" t="e">
        <f aca="false">H100+H101+#REF!+H103</f>
        <v>#REF!</v>
      </c>
      <c r="I99" s="131" t="e">
        <f aca="false">I100+I101+#REF!+I103</f>
        <v>#REF!</v>
      </c>
      <c r="J99" s="131" t="e">
        <f aca="false">J100+J101+#REF!+J103</f>
        <v>#REF!</v>
      </c>
      <c r="K99" s="131" t="e">
        <f aca="false">K100+K101+#REF!+K103</f>
        <v>#REF!</v>
      </c>
      <c r="L99" s="131" t="e">
        <f aca="false">L100+L101+#REF!+L103</f>
        <v>#REF!</v>
      </c>
      <c r="M99" s="131" t="e">
        <f aca="false">M100+M101+#REF!+M103</f>
        <v>#REF!</v>
      </c>
      <c r="N99" s="131" t="e">
        <f aca="false">N100+N101+#REF!+N103</f>
        <v>#REF!</v>
      </c>
      <c r="O99" s="158" t="e">
        <f aca="false">O100+O101+#REF!+O103</f>
        <v>#REF!</v>
      </c>
      <c r="P99" s="40" t="n">
        <f aca="false">(D99+F99)*4.2+E99*9</f>
        <v>775.2597</v>
      </c>
    </row>
    <row r="100" customFormat="false" ht="26.25" hidden="false" customHeight="true" outlineLevel="0" collapsed="false">
      <c r="A100" s="93" t="s">
        <v>23</v>
      </c>
      <c r="B100" s="73" t="s">
        <v>143</v>
      </c>
      <c r="C100" s="59" t="n">
        <v>203</v>
      </c>
      <c r="D100" s="76" t="n">
        <v>7.16</v>
      </c>
      <c r="E100" s="76" t="n">
        <v>4.66</v>
      </c>
      <c r="F100" s="76" t="n">
        <v>40.52</v>
      </c>
      <c r="G100" s="76" t="n">
        <v>242.96</v>
      </c>
      <c r="H100" s="79" t="n">
        <v>0.06</v>
      </c>
      <c r="I100" s="79" t="n">
        <v>2.82</v>
      </c>
      <c r="J100" s="55"/>
      <c r="K100" s="79" t="n">
        <v>14.58</v>
      </c>
      <c r="L100" s="79" t="n">
        <v>25.31</v>
      </c>
      <c r="M100" s="79" t="n">
        <v>6.62</v>
      </c>
      <c r="N100" s="79" t="n">
        <v>1.51</v>
      </c>
      <c r="O100" s="40" t="n">
        <v>38</v>
      </c>
      <c r="P100" s="40" t="n">
        <f aca="false">(D100+F100)*4.2+E100*9</f>
        <v>242.196</v>
      </c>
      <c r="Q100" s="151"/>
      <c r="R100" s="152"/>
      <c r="S100" s="152"/>
      <c r="T100" s="152"/>
      <c r="U100" s="152"/>
      <c r="V100" s="152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</row>
    <row r="101" customFormat="false" ht="13.5" hidden="false" customHeight="true" outlineLevel="0" collapsed="false">
      <c r="A101" s="93" t="s">
        <v>138</v>
      </c>
      <c r="B101" s="68" t="s">
        <v>139</v>
      </c>
      <c r="C101" s="69" t="n">
        <v>100</v>
      </c>
      <c r="D101" s="76" t="n">
        <f aca="false">4.91*1.67</f>
        <v>8.1997</v>
      </c>
      <c r="E101" s="76" t="n">
        <f aca="false">3.79*1.67</f>
        <v>6.3293</v>
      </c>
      <c r="F101" s="76" t="n">
        <f aca="false">36.09*1.67</f>
        <v>60.2703</v>
      </c>
      <c r="G101" s="76" t="n">
        <v>344.5</v>
      </c>
      <c r="H101" s="79" t="n">
        <v>0.3</v>
      </c>
      <c r="I101" s="55" t="n">
        <v>0.15</v>
      </c>
      <c r="J101" s="79" t="n">
        <v>21</v>
      </c>
      <c r="K101" s="79" t="n">
        <v>15.38</v>
      </c>
      <c r="L101" s="79" t="n">
        <v>208.35</v>
      </c>
      <c r="M101" s="79" t="n">
        <v>138.65</v>
      </c>
      <c r="N101" s="79" t="n">
        <v>4.66</v>
      </c>
      <c r="O101" s="40" t="n">
        <v>16</v>
      </c>
      <c r="P101" s="40" t="n">
        <f aca="false">(D101+F101)*4.2+E101*9</f>
        <v>344.5377</v>
      </c>
      <c r="Q101" s="155"/>
      <c r="R101" s="149"/>
      <c r="S101" s="149"/>
      <c r="T101" s="149"/>
      <c r="U101" s="149"/>
      <c r="V101" s="149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</row>
    <row r="102" customFormat="false" ht="14.25" hidden="false" customHeight="true" outlineLevel="0" collapsed="false">
      <c r="A102" s="132" t="n">
        <v>323</v>
      </c>
      <c r="B102" s="75" t="s">
        <v>62</v>
      </c>
      <c r="C102" s="69" t="n">
        <v>200</v>
      </c>
      <c r="D102" s="76" t="n">
        <v>0.01</v>
      </c>
      <c r="E102" s="77"/>
      <c r="F102" s="76" t="n">
        <v>15.62</v>
      </c>
      <c r="G102" s="76" t="n">
        <v>65.646</v>
      </c>
      <c r="H102" s="79"/>
      <c r="I102" s="79"/>
      <c r="J102" s="55"/>
      <c r="K102" s="79"/>
      <c r="L102" s="55"/>
      <c r="M102" s="55"/>
      <c r="N102" s="79"/>
      <c r="P102" s="40" t="n">
        <f aca="false">(D102+F102)*4.2+E102*9</f>
        <v>65.646</v>
      </c>
      <c r="Q102" s="155"/>
      <c r="R102" s="149"/>
      <c r="S102" s="149"/>
      <c r="T102" s="156"/>
      <c r="U102" s="149"/>
      <c r="V102" s="149"/>
      <c r="W102" s="159"/>
      <c r="X102" s="160"/>
      <c r="Y102" s="160"/>
      <c r="Z102" s="159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</row>
    <row r="103" customFormat="false" ht="14.25" hidden="false" customHeight="true" outlineLevel="0" collapsed="false">
      <c r="A103" s="72"/>
      <c r="B103" s="122" t="s">
        <v>28</v>
      </c>
      <c r="C103" s="59" t="n">
        <v>50</v>
      </c>
      <c r="D103" s="76" t="n">
        <f aca="false">3.04*1.25</f>
        <v>3.8</v>
      </c>
      <c r="E103" s="74" t="n">
        <f aca="false">0.32*1.25</f>
        <v>0.4</v>
      </c>
      <c r="F103" s="76" t="n">
        <f aca="false">19.68*1.25</f>
        <v>24.6</v>
      </c>
      <c r="G103" s="76" t="n">
        <f aca="false">98.34*1.25</f>
        <v>122.925</v>
      </c>
      <c r="H103" s="60" t="n">
        <v>0.1</v>
      </c>
      <c r="I103" s="55"/>
      <c r="J103" s="55"/>
      <c r="K103" s="79" t="n">
        <v>17.4</v>
      </c>
      <c r="L103" s="55" t="n">
        <v>78</v>
      </c>
      <c r="M103" s="55" t="n">
        <v>25.2</v>
      </c>
      <c r="N103" s="60" t="n">
        <v>2.16</v>
      </c>
      <c r="O103" s="40" t="n">
        <v>3</v>
      </c>
      <c r="P103" s="40" t="n">
        <f aca="false">(D103+F103)*4.2+E103*9</f>
        <v>122.88</v>
      </c>
      <c r="Q103" s="155"/>
      <c r="R103" s="143"/>
      <c r="S103" s="149"/>
      <c r="T103" s="143"/>
      <c r="U103" s="149"/>
      <c r="V103" s="149"/>
      <c r="W103" s="162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60"/>
      <c r="AH103" s="159"/>
      <c r="AI103" s="159"/>
      <c r="AJ103" s="162"/>
    </row>
    <row r="104" customFormat="false" ht="18.75" hidden="false" customHeight="true" outlineLevel="0" collapsed="false">
      <c r="A104" s="72"/>
      <c r="B104" s="75"/>
      <c r="C104" s="86" t="n">
        <f aca="false">SUM(C100:C103)</f>
        <v>553</v>
      </c>
      <c r="D104" s="84"/>
      <c r="E104" s="85"/>
      <c r="F104" s="84"/>
      <c r="G104" s="84"/>
      <c r="H104" s="79"/>
      <c r="I104" s="60"/>
      <c r="J104" s="55"/>
      <c r="K104" s="60"/>
      <c r="L104" s="55"/>
      <c r="M104" s="55"/>
      <c r="N104" s="60"/>
      <c r="P104" s="40" t="n">
        <f aca="false">(D104+F104)*4.2+E104*9</f>
        <v>0</v>
      </c>
      <c r="Q104" s="148"/>
      <c r="R104" s="152"/>
      <c r="S104" s="152"/>
      <c r="T104" s="152"/>
      <c r="U104" s="152"/>
      <c r="V104" s="152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</row>
    <row r="105" customFormat="false" ht="17.25" hidden="false" customHeight="true" outlineLevel="0" collapsed="false">
      <c r="A105" s="104"/>
      <c r="B105" s="191" t="s">
        <v>81</v>
      </c>
      <c r="C105" s="192"/>
      <c r="D105" s="88" t="n">
        <f aca="false">D106+D107+D108+D109+D110+D111</f>
        <v>21.8566</v>
      </c>
      <c r="E105" s="88" t="n">
        <f aca="false">E106+E107+E108+E109+E110+E111</f>
        <v>38.5086</v>
      </c>
      <c r="F105" s="88" t="n">
        <f aca="false">F106+F107+F108+F109+F110+F111</f>
        <v>88.9553</v>
      </c>
      <c r="G105" s="88" t="n">
        <f aca="false">G106+G107+G108+G109+G110+G111</f>
        <v>837.045</v>
      </c>
      <c r="H105" s="88" t="n">
        <v>0.71</v>
      </c>
      <c r="I105" s="88" t="n">
        <v>129.11</v>
      </c>
      <c r="J105" s="88" t="n">
        <f aca="false">J106+J107+J108+J110+J111</f>
        <v>0</v>
      </c>
      <c r="K105" s="88" t="n">
        <v>153.91</v>
      </c>
      <c r="L105" s="88" t="n">
        <v>204.2</v>
      </c>
      <c r="M105" s="88" t="n">
        <v>74.52</v>
      </c>
      <c r="N105" s="88" t="n">
        <v>4.62</v>
      </c>
      <c r="O105" s="146" t="n">
        <v>84.3</v>
      </c>
      <c r="P105" s="40" t="n">
        <f aca="false">(D105+F105)*4.2+E105*9</f>
        <v>811.98738</v>
      </c>
      <c r="Q105" s="148"/>
      <c r="R105" s="152"/>
      <c r="S105" s="152"/>
      <c r="T105" s="152"/>
      <c r="U105" s="152"/>
      <c r="V105" s="152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</row>
    <row r="106" customFormat="false" ht="15" hidden="false" customHeight="true" outlineLevel="0" collapsed="false">
      <c r="A106" s="89" t="s">
        <v>82</v>
      </c>
      <c r="B106" s="68" t="s">
        <v>83</v>
      </c>
      <c r="C106" s="90" t="n">
        <v>100</v>
      </c>
      <c r="D106" s="76" t="n">
        <f aca="false">0.94*1.66</f>
        <v>1.5604</v>
      </c>
      <c r="E106" s="76" t="n">
        <f aca="false">4.06*1.66</f>
        <v>6.7396</v>
      </c>
      <c r="F106" s="76" t="n">
        <f aca="false">5.96*1.66</f>
        <v>9.8936</v>
      </c>
      <c r="G106" s="76" t="n">
        <v>108.76</v>
      </c>
      <c r="H106" s="79" t="n">
        <v>0.04</v>
      </c>
      <c r="I106" s="79" t="n">
        <v>15</v>
      </c>
      <c r="J106" s="77"/>
      <c r="K106" s="79" t="n">
        <v>8.4</v>
      </c>
      <c r="L106" s="79"/>
      <c r="M106" s="79"/>
      <c r="N106" s="79" t="n">
        <v>0.54</v>
      </c>
      <c r="O106" s="40" t="n">
        <v>10.9</v>
      </c>
      <c r="P106" s="40" t="n">
        <f aca="false">(D106+F106)*4.2+E106*9</f>
        <v>108.7632</v>
      </c>
      <c r="Q106" s="148"/>
      <c r="R106" s="152"/>
      <c r="S106" s="152"/>
      <c r="T106" s="152"/>
      <c r="U106" s="152"/>
      <c r="V106" s="152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</row>
    <row r="107" customFormat="false" ht="11.25" hidden="false" customHeight="true" outlineLevel="0" collapsed="false">
      <c r="A107" s="72" t="s">
        <v>119</v>
      </c>
      <c r="B107" s="129" t="s">
        <v>232</v>
      </c>
      <c r="C107" s="69" t="n">
        <v>250</v>
      </c>
      <c r="D107" s="76" t="n">
        <f aca="false">4.56*1.25</f>
        <v>5.7</v>
      </c>
      <c r="E107" s="76" t="n">
        <f aca="false">6.9*1.25</f>
        <v>8.625</v>
      </c>
      <c r="F107" s="76" t="n">
        <f aca="false">12.22*1.25</f>
        <v>15.275</v>
      </c>
      <c r="G107" s="76" t="n">
        <f aca="false">132.58*1.25</f>
        <v>165.725</v>
      </c>
      <c r="H107" s="125" t="s">
        <v>179</v>
      </c>
      <c r="I107" s="125" t="s">
        <v>233</v>
      </c>
      <c r="J107" s="77"/>
      <c r="K107" s="125" t="s">
        <v>234</v>
      </c>
      <c r="L107" s="125" t="s">
        <v>235</v>
      </c>
      <c r="M107" s="125" t="s">
        <v>236</v>
      </c>
      <c r="N107" s="74" t="s">
        <v>237</v>
      </c>
      <c r="O107" s="165" t="n">
        <v>17.6</v>
      </c>
      <c r="P107" s="40" t="n">
        <f aca="false">(D107+F107)*4.2+E107*9</f>
        <v>165.72</v>
      </c>
      <c r="Q107" s="148"/>
      <c r="R107" s="152"/>
      <c r="S107" s="152"/>
      <c r="T107" s="152"/>
      <c r="U107" s="152"/>
      <c r="V107" s="152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</row>
    <row r="108" customFormat="false" ht="14.25" hidden="false" customHeight="true" outlineLevel="0" collapsed="false">
      <c r="A108" s="72" t="n">
        <v>203</v>
      </c>
      <c r="B108" s="129" t="s">
        <v>145</v>
      </c>
      <c r="C108" s="164" t="n">
        <v>100</v>
      </c>
      <c r="D108" s="76" t="n">
        <v>9.63</v>
      </c>
      <c r="E108" s="76" t="n">
        <v>12.61</v>
      </c>
      <c r="F108" s="76" t="n">
        <v>8.51</v>
      </c>
      <c r="G108" s="76" t="n">
        <v>189.68</v>
      </c>
      <c r="H108" s="79" t="n">
        <v>0.46</v>
      </c>
      <c r="I108" s="79" t="n">
        <v>1.78</v>
      </c>
      <c r="J108" s="79"/>
      <c r="K108" s="79" t="n">
        <v>10.16</v>
      </c>
      <c r="L108" s="79" t="n">
        <v>8.54</v>
      </c>
      <c r="M108" s="79" t="n">
        <v>1.88</v>
      </c>
      <c r="N108" s="79" t="n">
        <v>1.14</v>
      </c>
      <c r="O108" s="40" t="n">
        <v>33</v>
      </c>
      <c r="P108" s="40" t="n">
        <f aca="false">(D108+F108)*4.2+E108*9</f>
        <v>189.678</v>
      </c>
      <c r="Q108" s="148"/>
      <c r="R108" s="152"/>
      <c r="S108" s="152"/>
      <c r="T108" s="152"/>
      <c r="U108" s="152"/>
      <c r="V108" s="152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</row>
    <row r="109" customFormat="false" ht="14.25" hidden="false" customHeight="true" outlineLevel="0" collapsed="false">
      <c r="A109" s="67" t="s">
        <v>33</v>
      </c>
      <c r="B109" s="75" t="s">
        <v>34</v>
      </c>
      <c r="C109" s="69" t="n">
        <v>200</v>
      </c>
      <c r="D109" s="76" t="n">
        <v>3.26</v>
      </c>
      <c r="E109" s="76" t="n">
        <f aca="false">7.8*1.33</f>
        <v>10.374</v>
      </c>
      <c r="F109" s="76" t="n">
        <f aca="false">21.99*1.33</f>
        <v>29.2467</v>
      </c>
      <c r="G109" s="76" t="n">
        <v>234.48</v>
      </c>
      <c r="H109" s="60" t="n">
        <v>0.05</v>
      </c>
      <c r="I109" s="60" t="n">
        <v>95.18</v>
      </c>
      <c r="J109" s="93"/>
      <c r="K109" s="79" t="n">
        <v>104.13</v>
      </c>
      <c r="L109" s="79" t="n">
        <v>72.31</v>
      </c>
      <c r="M109" s="79" t="n">
        <v>35.84</v>
      </c>
      <c r="N109" s="79" t="n">
        <v>1.44</v>
      </c>
      <c r="O109" s="40" t="n">
        <v>17</v>
      </c>
      <c r="P109" s="40" t="n">
        <f aca="false">(D109+F109)*4.2+E109*9</f>
        <v>229.89414</v>
      </c>
      <c r="Q109" s="148"/>
      <c r="R109" s="152"/>
      <c r="S109" s="152"/>
      <c r="T109" s="152"/>
      <c r="U109" s="152"/>
      <c r="V109" s="152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</row>
    <row r="110" customFormat="false" ht="13.5" hidden="false" customHeight="true" outlineLevel="0" collapsed="false">
      <c r="A110" s="120" t="s">
        <v>123</v>
      </c>
      <c r="B110" s="190" t="s">
        <v>124</v>
      </c>
      <c r="C110" s="59" t="n">
        <v>200</v>
      </c>
      <c r="D110" s="167" t="n">
        <f aca="false">0.14*1.33</f>
        <v>0.1862</v>
      </c>
      <c r="E110" s="167"/>
      <c r="F110" s="74" t="n">
        <v>16.19</v>
      </c>
      <c r="G110" s="74" t="n">
        <v>89.23</v>
      </c>
      <c r="H110" s="127" t="n">
        <v>0.01</v>
      </c>
      <c r="I110" s="127" t="n">
        <v>0.65</v>
      </c>
      <c r="J110" s="128"/>
      <c r="K110" s="79" t="n">
        <v>0.47</v>
      </c>
      <c r="L110" s="55"/>
      <c r="M110" s="55"/>
      <c r="N110" s="79" t="n">
        <v>0.04</v>
      </c>
      <c r="O110" s="40" t="n">
        <v>3</v>
      </c>
      <c r="P110" s="40" t="n">
        <v>89</v>
      </c>
      <c r="Q110" s="148"/>
      <c r="R110" s="152"/>
      <c r="S110" s="152"/>
      <c r="T110" s="152"/>
      <c r="U110" s="152"/>
      <c r="V110" s="152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</row>
    <row r="111" customFormat="false" ht="13.5" hidden="false" customHeight="true" outlineLevel="0" collapsed="false">
      <c r="A111" s="80"/>
      <c r="B111" s="122" t="s">
        <v>28</v>
      </c>
      <c r="C111" s="59" t="n">
        <v>20</v>
      </c>
      <c r="D111" s="76" t="n">
        <v>1.52</v>
      </c>
      <c r="E111" s="74" t="n">
        <v>0.16</v>
      </c>
      <c r="F111" s="76" t="n">
        <v>9.84</v>
      </c>
      <c r="G111" s="76" t="n">
        <v>49.17</v>
      </c>
      <c r="H111" s="59" t="n">
        <v>0.04</v>
      </c>
      <c r="I111" s="93"/>
      <c r="J111" s="93"/>
      <c r="K111" s="69" t="n">
        <v>8</v>
      </c>
      <c r="L111" s="93" t="n">
        <v>26</v>
      </c>
      <c r="M111" s="93" t="n">
        <v>5.6</v>
      </c>
      <c r="N111" s="59" t="n">
        <v>0.44</v>
      </c>
      <c r="O111" s="40" t="n">
        <v>2.8</v>
      </c>
      <c r="P111" s="40" t="n">
        <f aca="false">(D111+F111)*4.2+E111*9</f>
        <v>49.152</v>
      </c>
      <c r="Q111" s="148"/>
      <c r="R111" s="152"/>
      <c r="S111" s="152"/>
      <c r="T111" s="152"/>
      <c r="U111" s="152"/>
      <c r="V111" s="152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</row>
    <row r="112" customFormat="false" ht="12.75" hidden="false" customHeight="false" outlineLevel="0" collapsed="false">
      <c r="A112" s="168"/>
      <c r="B112" s="169"/>
      <c r="C112" s="170" t="n">
        <f aca="false">SUM(C106:C111)</f>
        <v>870</v>
      </c>
      <c r="D112" s="76"/>
      <c r="E112" s="74"/>
      <c r="F112" s="76"/>
      <c r="G112" s="76"/>
      <c r="H112" s="60"/>
      <c r="I112" s="55"/>
      <c r="J112" s="55"/>
      <c r="K112" s="79"/>
      <c r="L112" s="55"/>
      <c r="M112" s="55"/>
      <c r="N112" s="60"/>
      <c r="P112" s="40" t="n">
        <f aca="false">(D112+F112)*4.2+E112*9</f>
        <v>0</v>
      </c>
      <c r="Q112" s="155"/>
      <c r="R112" s="171"/>
      <c r="S112" s="149"/>
      <c r="T112" s="143"/>
      <c r="U112" s="149"/>
      <c r="V112" s="149"/>
      <c r="W112" s="162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60"/>
      <c r="AH112" s="159"/>
      <c r="AI112" s="159"/>
      <c r="AJ112" s="162"/>
    </row>
    <row r="113" customFormat="false" ht="12.75" hidden="false" customHeight="false" outlineLevel="0" collapsed="false">
      <c r="A113" s="136" t="s">
        <v>238</v>
      </c>
      <c r="B113" s="199" t="s">
        <v>170</v>
      </c>
      <c r="C113" s="200"/>
      <c r="D113" s="105" t="n">
        <f aca="false">D114+D120</f>
        <v>46.29554</v>
      </c>
      <c r="E113" s="105" t="n">
        <f aca="false">E114+E120</f>
        <v>60.88116</v>
      </c>
      <c r="F113" s="105" t="n">
        <f aca="false">F114+F120</f>
        <v>209.82178</v>
      </c>
      <c r="G113" s="105" t="n">
        <f aca="false">G114+G120</f>
        <v>1626.306</v>
      </c>
      <c r="H113" s="105" t="e">
        <f aca="false">H114+H120</f>
        <v>#REF!</v>
      </c>
      <c r="I113" s="105" t="e">
        <f aca="false">I114+I120</f>
        <v>#REF!</v>
      </c>
      <c r="J113" s="105" t="e">
        <f aca="false">J114+J120</f>
        <v>#REF!</v>
      </c>
      <c r="K113" s="105" t="e">
        <f aca="false">K114+K120</f>
        <v>#REF!</v>
      </c>
      <c r="L113" s="105" t="e">
        <f aca="false">L114+L120</f>
        <v>#REF!</v>
      </c>
      <c r="M113" s="105" t="e">
        <f aca="false">M114+M120</f>
        <v>#REF!</v>
      </c>
      <c r="N113" s="105" t="e">
        <f aca="false">N114+N120</f>
        <v>#REF!</v>
      </c>
      <c r="O113" s="106" t="e">
        <f aca="false">O114+O120</f>
        <v>#REF!</v>
      </c>
      <c r="P113" s="40" t="n">
        <f aca="false">(D113+F113)*4.2+E113*9</f>
        <v>1623.623184</v>
      </c>
    </row>
    <row r="114" customFormat="false" ht="12.75" hidden="false" customHeight="false" outlineLevel="0" collapsed="false">
      <c r="A114" s="136"/>
      <c r="B114" s="66" t="s">
        <v>18</v>
      </c>
      <c r="C114" s="66"/>
      <c r="D114" s="105" t="n">
        <f aca="false">D115+D116+D117+D118</f>
        <v>17.3025</v>
      </c>
      <c r="E114" s="105" t="n">
        <f aca="false">E115+E116+E117+E118</f>
        <v>13.0875</v>
      </c>
      <c r="F114" s="105" t="n">
        <f aca="false">F115+F116+F117+F118</f>
        <v>116.4575</v>
      </c>
      <c r="G114" s="105" t="n">
        <f aca="false">G115+G116+G117+G118</f>
        <v>681.25</v>
      </c>
      <c r="H114" s="105" t="e">
        <f aca="false">H115+H116+H117+H118+#REF!</f>
        <v>#REF!</v>
      </c>
      <c r="I114" s="105" t="e">
        <f aca="false">I115+I116+I117+I118+#REF!</f>
        <v>#REF!</v>
      </c>
      <c r="J114" s="105" t="e">
        <f aca="false">J115+J116+J117+J118+#REF!</f>
        <v>#REF!</v>
      </c>
      <c r="K114" s="105" t="e">
        <f aca="false">K115+K116+K117+K118+#REF!</f>
        <v>#REF!</v>
      </c>
      <c r="L114" s="105" t="e">
        <f aca="false">L115+L116+L117+L118+#REF!</f>
        <v>#REF!</v>
      </c>
      <c r="M114" s="105" t="e">
        <f aca="false">M115+M116+M117+M118+#REF!</f>
        <v>#REF!</v>
      </c>
      <c r="N114" s="105" t="e">
        <f aca="false">N115+N116+N117+N118+#REF!</f>
        <v>#REF!</v>
      </c>
      <c r="O114" s="106" t="e">
        <f aca="false">O115+O116+O117+O118+#REF!</f>
        <v>#REF!</v>
      </c>
      <c r="P114" s="40" t="n">
        <f aca="false">(D114+F114)*4.2+E114*9</f>
        <v>679.5795</v>
      </c>
    </row>
    <row r="115" customFormat="false" ht="24" hidden="false" customHeight="false" outlineLevel="0" collapsed="false">
      <c r="A115" s="93" t="s">
        <v>23</v>
      </c>
      <c r="B115" s="73" t="s">
        <v>136</v>
      </c>
      <c r="C115" s="59" t="n">
        <v>253</v>
      </c>
      <c r="D115" s="76" t="n">
        <f aca="false">7.81*1.25</f>
        <v>9.7625</v>
      </c>
      <c r="E115" s="76" t="n">
        <f aca="false">4.55*1.25</f>
        <v>5.6875</v>
      </c>
      <c r="F115" s="76" t="n">
        <f aca="false">33.47*1.25</f>
        <v>41.8375</v>
      </c>
      <c r="G115" s="76" t="n">
        <v>267.91</v>
      </c>
      <c r="H115" s="55" t="n">
        <v>0.1</v>
      </c>
      <c r="I115" s="55" t="n">
        <v>6.03</v>
      </c>
      <c r="J115" s="55" t="n">
        <v>92.4</v>
      </c>
      <c r="K115" s="55" t="n">
        <v>52.89</v>
      </c>
      <c r="L115" s="55" t="n">
        <v>193.68</v>
      </c>
      <c r="M115" s="55" t="n">
        <v>44.45</v>
      </c>
      <c r="N115" s="55" t="n">
        <v>1.01</v>
      </c>
      <c r="O115" s="40" t="n">
        <v>35</v>
      </c>
      <c r="P115" s="40" t="n">
        <f aca="false">(D115+F115)*4.2+E115*9</f>
        <v>267.9075</v>
      </c>
    </row>
    <row r="116" customFormat="false" ht="12.75" hidden="false" customHeight="false" outlineLevel="0" collapsed="false">
      <c r="A116" s="72"/>
      <c r="B116" s="75" t="s">
        <v>60</v>
      </c>
      <c r="C116" s="69" t="n">
        <v>60</v>
      </c>
      <c r="D116" s="76" t="n">
        <f aca="false">1.5*3</f>
        <v>4.5</v>
      </c>
      <c r="E116" s="77" t="n">
        <f aca="false">2.36*3</f>
        <v>7.08</v>
      </c>
      <c r="F116" s="76" t="n">
        <f aca="false">14.98*3</f>
        <v>44.94</v>
      </c>
      <c r="G116" s="76" t="n">
        <f aca="false">91*3</f>
        <v>273</v>
      </c>
      <c r="H116" s="79" t="n">
        <v>0.19</v>
      </c>
      <c r="I116" s="79" t="n">
        <v>31.07</v>
      </c>
      <c r="J116" s="79" t="n">
        <v>25.2</v>
      </c>
      <c r="K116" s="79" t="n">
        <v>49.59</v>
      </c>
      <c r="L116" s="79" t="n">
        <v>91.3</v>
      </c>
      <c r="M116" s="79" t="n">
        <v>35.39</v>
      </c>
      <c r="N116" s="79" t="n">
        <v>1.43</v>
      </c>
      <c r="O116" s="40" t="n">
        <v>23</v>
      </c>
      <c r="P116" s="40" t="n">
        <f aca="false">(D116+F116)*4.2+E116*9</f>
        <v>271.368</v>
      </c>
    </row>
    <row r="117" customFormat="false" ht="12.75" hidden="false" customHeight="false" outlineLevel="0" collapsed="false">
      <c r="A117" s="67" t="s">
        <v>35</v>
      </c>
      <c r="B117" s="75" t="s">
        <v>36</v>
      </c>
      <c r="C117" s="166" t="n">
        <v>200</v>
      </c>
      <c r="D117" s="76" t="n">
        <v>0</v>
      </c>
      <c r="E117" s="74" t="n">
        <v>0</v>
      </c>
      <c r="F117" s="76" t="n">
        <v>10</v>
      </c>
      <c r="G117" s="76" t="n">
        <v>42</v>
      </c>
      <c r="H117" s="55"/>
      <c r="I117" s="79" t="n">
        <v>2.4</v>
      </c>
      <c r="J117" s="55"/>
      <c r="K117" s="79" t="n">
        <v>2.87</v>
      </c>
      <c r="L117" s="79" t="n">
        <v>1.32</v>
      </c>
      <c r="M117" s="79" t="n">
        <v>0.72</v>
      </c>
      <c r="N117" s="79" t="n">
        <v>0.08</v>
      </c>
      <c r="O117" s="40" t="n">
        <v>5</v>
      </c>
      <c r="P117" s="40" t="n">
        <f aca="false">(D117+F117)*4.2+E117*9</f>
        <v>42</v>
      </c>
    </row>
    <row r="118" customFormat="false" ht="12.75" hidden="false" customHeight="false" outlineLevel="0" collapsed="false">
      <c r="A118" s="82"/>
      <c r="B118" s="75" t="s">
        <v>28</v>
      </c>
      <c r="C118" s="201" t="n">
        <v>40</v>
      </c>
      <c r="D118" s="84" t="n">
        <v>3.04</v>
      </c>
      <c r="E118" s="85" t="n">
        <v>0.32</v>
      </c>
      <c r="F118" s="84" t="n">
        <v>19.68</v>
      </c>
      <c r="G118" s="84" t="n">
        <v>98.34</v>
      </c>
      <c r="H118" s="60" t="n">
        <v>0.04</v>
      </c>
      <c r="I118" s="55"/>
      <c r="J118" s="55"/>
      <c r="K118" s="79" t="n">
        <v>8</v>
      </c>
      <c r="L118" s="55" t="n">
        <v>26</v>
      </c>
      <c r="M118" s="55" t="n">
        <v>5.6</v>
      </c>
      <c r="N118" s="60" t="n">
        <v>0.44</v>
      </c>
      <c r="O118" s="40" t="n">
        <v>2.8</v>
      </c>
      <c r="P118" s="40" t="n">
        <f aca="false">(D118+F118)*4.2+E118*9</f>
        <v>98.304</v>
      </c>
    </row>
    <row r="119" customFormat="false" ht="12.75" hidden="false" customHeight="false" outlineLevel="0" collapsed="false">
      <c r="A119" s="80"/>
      <c r="B119" s="75"/>
      <c r="C119" s="202" t="n">
        <f aca="false">SUM(C115:C118)</f>
        <v>553</v>
      </c>
      <c r="D119" s="76"/>
      <c r="E119" s="74"/>
      <c r="F119" s="76"/>
      <c r="G119" s="76"/>
      <c r="H119" s="60"/>
      <c r="I119" s="55"/>
      <c r="J119" s="55"/>
      <c r="K119" s="79"/>
      <c r="L119" s="55"/>
      <c r="M119" s="55"/>
      <c r="N119" s="60"/>
      <c r="P119" s="40" t="n">
        <f aca="false">(D119+F119)*4.2+E119*9</f>
        <v>0</v>
      </c>
    </row>
    <row r="120" customFormat="false" ht="12.75" hidden="false" customHeight="false" outlineLevel="0" collapsed="false">
      <c r="A120" s="80"/>
      <c r="B120" s="191" t="s">
        <v>81</v>
      </c>
      <c r="C120" s="172"/>
      <c r="D120" s="105" t="n">
        <f aca="false">D121+D122+D123+D124+D125+D126</f>
        <v>28.99304</v>
      </c>
      <c r="E120" s="105" t="n">
        <f aca="false">E121+E122+E123+E124+E125+E126</f>
        <v>47.79366</v>
      </c>
      <c r="F120" s="105" t="n">
        <f aca="false">F121+F122+F123+F124+F125+F126</f>
        <v>93.36428</v>
      </c>
      <c r="G120" s="105" t="n">
        <f aca="false">G121+G122+G123+G124+G125+G126</f>
        <v>945.056</v>
      </c>
      <c r="H120" s="105" t="n">
        <f aca="false">H121+H122+H123+H124+H125+H126</f>
        <v>0.69</v>
      </c>
      <c r="I120" s="105" t="n">
        <f aca="false">I121+I122+I123+I124+I125+I126</f>
        <v>21.71</v>
      </c>
      <c r="J120" s="105" t="n">
        <f aca="false">J121+J122+J123+J124+J125+J126</f>
        <v>0.9</v>
      </c>
      <c r="K120" s="105" t="n">
        <f aca="false">K121+K122+K123+K124+K125+K126</f>
        <v>151.85</v>
      </c>
      <c r="L120" s="105" t="n">
        <f aca="false">L121+L122+L123+L124+L125+L126</f>
        <v>371.56</v>
      </c>
      <c r="M120" s="105" t="n">
        <f aca="false">M121+M122+M123+M124+M125+M126</f>
        <v>129.63</v>
      </c>
      <c r="N120" s="105" t="n">
        <f aca="false">N121+N122+N123+N124+N125+N126</f>
        <v>8.81</v>
      </c>
      <c r="O120" s="106" t="n">
        <f aca="false">O121+O122+O123+O124+O125+O126</f>
        <v>68.8</v>
      </c>
      <c r="P120" s="40" t="n">
        <f aca="false">(D120+F120)*4.2+E120*9</f>
        <v>944.043684</v>
      </c>
    </row>
    <row r="121" customFormat="false" ht="12.75" hidden="false" customHeight="false" outlineLevel="0" collapsed="false">
      <c r="A121" s="72" t="s">
        <v>86</v>
      </c>
      <c r="B121" s="195" t="s">
        <v>87</v>
      </c>
      <c r="C121" s="93" t="n">
        <v>100</v>
      </c>
      <c r="D121" s="108" t="n">
        <f aca="false">0.84*1.666</f>
        <v>1.39944</v>
      </c>
      <c r="E121" s="74" t="n">
        <f aca="false">3.06*1.666</f>
        <v>5.09796</v>
      </c>
      <c r="F121" s="74" t="n">
        <f aca="false">6.83*1.666</f>
        <v>11.37878</v>
      </c>
      <c r="G121" s="74" t="n">
        <f aca="false">59.75*1.666</f>
        <v>99.5435</v>
      </c>
      <c r="H121" s="74" t="n">
        <v>0.01</v>
      </c>
      <c r="I121" s="74" t="n">
        <v>3.99</v>
      </c>
      <c r="J121" s="74"/>
      <c r="K121" s="74" t="n">
        <v>21.28</v>
      </c>
      <c r="L121" s="74" t="n">
        <v>24.38</v>
      </c>
      <c r="M121" s="74" t="n">
        <v>12.42</v>
      </c>
      <c r="N121" s="74" t="n">
        <v>0.79</v>
      </c>
      <c r="O121" s="91" t="n">
        <v>7.8</v>
      </c>
      <c r="P121" s="40" t="n">
        <f aca="false">(D121+F121)*4.2+E121*9</f>
        <v>99.550164</v>
      </c>
    </row>
    <row r="122" customFormat="false" ht="12.75" hidden="false" customHeight="false" outlineLevel="0" collapsed="false">
      <c r="A122" s="72" t="s">
        <v>125</v>
      </c>
      <c r="B122" s="73" t="s">
        <v>254</v>
      </c>
      <c r="C122" s="59" t="n">
        <v>250</v>
      </c>
      <c r="D122" s="74" t="n">
        <f aca="false">6.5*1.25</f>
        <v>8.125</v>
      </c>
      <c r="E122" s="74" t="n">
        <f aca="false">21.68*1.25</f>
        <v>27.1</v>
      </c>
      <c r="F122" s="74" t="n">
        <f aca="false">11.56*1.25</f>
        <v>14.45</v>
      </c>
      <c r="G122" s="74" t="n">
        <f aca="false">270.97*1.25</f>
        <v>338.7125</v>
      </c>
      <c r="H122" s="74" t="s">
        <v>240</v>
      </c>
      <c r="I122" s="74" t="s">
        <v>233</v>
      </c>
      <c r="J122" s="77"/>
      <c r="K122" s="74" t="s">
        <v>241</v>
      </c>
      <c r="L122" s="74" t="s">
        <v>242</v>
      </c>
      <c r="M122" s="74" t="s">
        <v>243</v>
      </c>
      <c r="N122" s="74" t="s">
        <v>244</v>
      </c>
      <c r="O122" s="40" t="n">
        <v>16</v>
      </c>
      <c r="P122" s="40" t="n">
        <f aca="false">(D122+F122)*4.2+E122*9</f>
        <v>338.715</v>
      </c>
    </row>
    <row r="123" customFormat="false" ht="12.75" hidden="false" customHeight="false" outlineLevel="0" collapsed="false">
      <c r="A123" s="121" t="s">
        <v>96</v>
      </c>
      <c r="B123" s="75" t="s">
        <v>97</v>
      </c>
      <c r="C123" s="69" t="n">
        <v>100</v>
      </c>
      <c r="D123" s="76" t="n">
        <f aca="false">11.84*1.11</f>
        <v>13.1424</v>
      </c>
      <c r="E123" s="76" t="n">
        <f aca="false">10.06*1.11</f>
        <v>11.1666</v>
      </c>
      <c r="F123" s="76" t="n">
        <f aca="false">16.03*1.11</f>
        <v>17.7933</v>
      </c>
      <c r="G123" s="76" t="n">
        <f aca="false">208*1.11</f>
        <v>230.88</v>
      </c>
      <c r="H123" s="59" t="n">
        <v>0.05</v>
      </c>
      <c r="I123" s="59" t="n">
        <v>1.22</v>
      </c>
      <c r="J123" s="93"/>
      <c r="K123" s="59" t="n">
        <v>9.8</v>
      </c>
      <c r="L123" s="59" t="n">
        <v>16.87</v>
      </c>
      <c r="M123" s="59" t="n">
        <v>4.54</v>
      </c>
      <c r="N123" s="59" t="n">
        <v>1.39</v>
      </c>
      <c r="O123" s="40" t="n">
        <v>25</v>
      </c>
      <c r="P123" s="40" t="n">
        <f aca="false">(D123+F123)*4.2+E123*9</f>
        <v>230.42934</v>
      </c>
    </row>
    <row r="124" customFormat="false" ht="12.75" hidden="false" customHeight="false" outlineLevel="0" collapsed="false">
      <c r="A124" s="72" t="s">
        <v>127</v>
      </c>
      <c r="B124" s="75" t="s">
        <v>128</v>
      </c>
      <c r="C124" s="111" t="n">
        <v>200</v>
      </c>
      <c r="D124" s="76" t="n">
        <f aca="false">3.14*1.33</f>
        <v>4.1762</v>
      </c>
      <c r="E124" s="74" t="n">
        <f aca="false">3.27*1.33</f>
        <v>4.3491</v>
      </c>
      <c r="F124" s="76" t="n">
        <f aca="false">22.34*1.33</f>
        <v>29.7122</v>
      </c>
      <c r="G124" s="76" t="n">
        <v>182</v>
      </c>
      <c r="H124" s="60" t="n">
        <v>0.44</v>
      </c>
      <c r="I124" s="55"/>
      <c r="J124" s="55" t="n">
        <v>0.9</v>
      </c>
      <c r="K124" s="79" t="n">
        <v>78</v>
      </c>
      <c r="L124" s="55" t="n">
        <v>215</v>
      </c>
      <c r="M124" s="55" t="n">
        <v>70</v>
      </c>
      <c r="N124" s="60" t="n">
        <v>4.45</v>
      </c>
      <c r="O124" s="40" t="n">
        <v>10</v>
      </c>
      <c r="P124" s="40" t="n">
        <f aca="false">(D124+F124)*4.2+E124*9</f>
        <v>181.47318</v>
      </c>
    </row>
    <row r="125" customFormat="false" ht="12.75" hidden="false" customHeight="false" outlineLevel="0" collapsed="false">
      <c r="A125" s="126" t="s">
        <v>42</v>
      </c>
      <c r="B125" s="68" t="s">
        <v>70</v>
      </c>
      <c r="C125" s="69" t="n">
        <v>200</v>
      </c>
      <c r="D125" s="76" t="n">
        <f aca="false">1.15</f>
        <v>1.15</v>
      </c>
      <c r="E125" s="77"/>
      <c r="F125" s="76" t="n">
        <v>12.03</v>
      </c>
      <c r="G125" s="76" t="n">
        <v>55.4</v>
      </c>
      <c r="H125" s="76" t="n">
        <v>0.02</v>
      </c>
      <c r="I125" s="76"/>
      <c r="J125" s="77"/>
      <c r="K125" s="76" t="n">
        <v>20.32</v>
      </c>
      <c r="L125" s="76" t="n">
        <v>19.36</v>
      </c>
      <c r="M125" s="76" t="n">
        <v>8.12</v>
      </c>
      <c r="N125" s="76" t="n">
        <v>0.45</v>
      </c>
      <c r="O125" s="40" t="n">
        <v>7</v>
      </c>
      <c r="P125" s="40" t="n">
        <f aca="false">(D125+F125)*4.2+E125*9</f>
        <v>55.356</v>
      </c>
    </row>
    <row r="126" customFormat="false" ht="12.75" hidden="false" customHeight="false" outlineLevel="0" collapsed="false">
      <c r="A126" s="80"/>
      <c r="B126" s="122" t="s">
        <v>100</v>
      </c>
      <c r="C126" s="59" t="n">
        <v>20</v>
      </c>
      <c r="D126" s="76" t="n">
        <v>1</v>
      </c>
      <c r="E126" s="74" t="n">
        <v>0.08</v>
      </c>
      <c r="F126" s="76" t="n">
        <v>8</v>
      </c>
      <c r="G126" s="76" t="n">
        <v>38.52</v>
      </c>
      <c r="H126" s="74" t="n">
        <v>0.04</v>
      </c>
      <c r="I126" s="77"/>
      <c r="J126" s="77"/>
      <c r="K126" s="76" t="n">
        <v>7.25</v>
      </c>
      <c r="L126" s="77" t="n">
        <v>32.5</v>
      </c>
      <c r="M126" s="77" t="n">
        <v>10.5</v>
      </c>
      <c r="N126" s="74" t="n">
        <v>0.9</v>
      </c>
      <c r="O126" s="40" t="n">
        <v>3</v>
      </c>
      <c r="P126" s="40" t="n">
        <f aca="false">(D126+F126)*4.2+E126*9</f>
        <v>38.52</v>
      </c>
    </row>
    <row r="127" customFormat="false" ht="12.75" hidden="false" customHeight="false" outlineLevel="0" collapsed="false">
      <c r="A127" s="72"/>
      <c r="B127" s="75"/>
      <c r="C127" s="119" t="n">
        <f aca="false">SUM(C121:C126)</f>
        <v>870</v>
      </c>
      <c r="D127" s="76"/>
      <c r="E127" s="74"/>
      <c r="F127" s="76"/>
      <c r="G127" s="76"/>
      <c r="H127" s="60"/>
      <c r="I127" s="55"/>
      <c r="J127" s="55"/>
      <c r="K127" s="79"/>
      <c r="L127" s="55"/>
      <c r="M127" s="55"/>
      <c r="N127" s="60"/>
      <c r="P127" s="40" t="n">
        <f aca="false">(D127+F127)*4.2+E127*9</f>
        <v>0</v>
      </c>
    </row>
    <row r="128" customFormat="false" ht="12.75" hidden="false" customHeight="false" outlineLevel="0" collapsed="false">
      <c r="A128" s="136" t="s">
        <v>245</v>
      </c>
      <c r="B128" s="66" t="s">
        <v>170</v>
      </c>
      <c r="C128" s="66"/>
      <c r="D128" s="105" t="n">
        <f aca="false">D129+D136</f>
        <v>59.3933</v>
      </c>
      <c r="E128" s="105" t="n">
        <f aca="false">E129+E136</f>
        <v>44.8603</v>
      </c>
      <c r="F128" s="105" t="n">
        <f aca="false">F129+F136</f>
        <v>211.2491</v>
      </c>
      <c r="G128" s="105" t="n">
        <f aca="false">G129+G136</f>
        <v>1540.252</v>
      </c>
      <c r="H128" s="105" t="n">
        <f aca="false">H129+H136</f>
        <v>0.709</v>
      </c>
      <c r="I128" s="105" t="n">
        <f aca="false">I129+I136</f>
        <v>50.81</v>
      </c>
      <c r="J128" s="105" t="n">
        <f aca="false">J129+J136</f>
        <v>56.41</v>
      </c>
      <c r="K128" s="105" t="n">
        <f aca="false">K129+K136</f>
        <v>155.65</v>
      </c>
      <c r="L128" s="105" t="n">
        <f aca="false">L129+L136</f>
        <v>538.96</v>
      </c>
      <c r="M128" s="105" t="n">
        <f aca="false">M129+M136</f>
        <v>102.84</v>
      </c>
      <c r="N128" s="105" t="n">
        <f aca="false">N129+N136</f>
        <v>11.25</v>
      </c>
      <c r="O128" s="106" t="n">
        <f aca="false">O129+O136</f>
        <v>163.9</v>
      </c>
      <c r="P128" s="40" t="n">
        <f aca="false">(D128+F128)*4.2+E128*9</f>
        <v>1540.44078</v>
      </c>
    </row>
    <row r="129" customFormat="false" ht="12.75" hidden="false" customHeight="false" outlineLevel="0" collapsed="false">
      <c r="A129" s="173"/>
      <c r="B129" s="193" t="s">
        <v>18</v>
      </c>
      <c r="C129" s="62"/>
      <c r="D129" s="105" t="n">
        <f aca="false">D130+D131+D132+D133+D134</f>
        <v>35.6536</v>
      </c>
      <c r="E129" s="105" t="n">
        <f aca="false">E130+E131+E132+E133+E134</f>
        <v>14.3833</v>
      </c>
      <c r="F129" s="105" t="n">
        <f aca="false">F130+F131+F132+F133+F134</f>
        <v>83.43</v>
      </c>
      <c r="G129" s="105" t="n">
        <f aca="false">G130+G131+G132+G133+G134</f>
        <v>629.687</v>
      </c>
      <c r="H129" s="105" t="n">
        <f aca="false">H130+H131+H132+H133+H134</f>
        <v>0.43</v>
      </c>
      <c r="I129" s="105" t="n">
        <f aca="false">I130+I131+I132+I133+I134</f>
        <v>29.64</v>
      </c>
      <c r="J129" s="105" t="n">
        <f aca="false">J130+J131+J132+J133+J134</f>
        <v>31.21</v>
      </c>
      <c r="K129" s="105" t="n">
        <f aca="false">K130+K131+K132+K133+K134</f>
        <v>66.05</v>
      </c>
      <c r="L129" s="105" t="n">
        <f aca="false">L130+L131+L132+L133+L134</f>
        <v>341.06</v>
      </c>
      <c r="M129" s="105" t="n">
        <f aca="false">M130+M131+M132+M133+M134</f>
        <v>38.28</v>
      </c>
      <c r="N129" s="105" t="n">
        <f aca="false">N130+N131+N132+N133+N134</f>
        <v>6.6</v>
      </c>
      <c r="O129" s="106" t="n">
        <f aca="false">O130+O131+O132+O133+O134</f>
        <v>71.7</v>
      </c>
      <c r="P129" s="40" t="n">
        <f aca="false">(D129+F129)*4.2+E129*9</f>
        <v>629.60082</v>
      </c>
    </row>
    <row r="130" customFormat="false" ht="16.5" hidden="false" customHeight="true" outlineLevel="0" collapsed="false">
      <c r="A130" s="89"/>
      <c r="B130" s="68" t="s">
        <v>67</v>
      </c>
      <c r="C130" s="90" t="n">
        <v>40</v>
      </c>
      <c r="D130" s="76" t="n">
        <v>5.08</v>
      </c>
      <c r="E130" s="76" t="n">
        <v>4.6</v>
      </c>
      <c r="F130" s="76" t="n">
        <v>0.28</v>
      </c>
      <c r="G130" s="76" t="n">
        <v>63.912</v>
      </c>
      <c r="H130" s="79" t="n">
        <v>0.05</v>
      </c>
      <c r="I130" s="79" t="n">
        <v>4.3</v>
      </c>
      <c r="J130" s="79"/>
      <c r="K130" s="79" t="n">
        <v>8.6</v>
      </c>
      <c r="L130" s="79" t="n">
        <v>26.66</v>
      </c>
      <c r="M130" s="79" t="n">
        <v>9.03</v>
      </c>
      <c r="N130" s="79" t="n">
        <v>0.3</v>
      </c>
      <c r="O130" s="40" t="n">
        <v>23.9</v>
      </c>
      <c r="P130" s="40" t="n">
        <f aca="false">(D130+F130)*4.2+E130*9</f>
        <v>63.912</v>
      </c>
    </row>
    <row r="131" customFormat="false" ht="12.75" hidden="false" customHeight="false" outlineLevel="0" collapsed="false">
      <c r="A131" s="93" t="s">
        <v>68</v>
      </c>
      <c r="B131" s="174" t="s">
        <v>246</v>
      </c>
      <c r="C131" s="175" t="n">
        <v>160</v>
      </c>
      <c r="D131" s="176" t="n">
        <f aca="false">18.92*1.33+0.06</f>
        <v>25.2236</v>
      </c>
      <c r="E131" s="176" t="n">
        <f aca="false">7.01*1.33+0.06</f>
        <v>9.3833</v>
      </c>
      <c r="F131" s="176" t="n">
        <f aca="false">15*1.33+16.77</f>
        <v>36.72</v>
      </c>
      <c r="G131" s="176" t="n">
        <v>344.61</v>
      </c>
      <c r="H131" s="60" t="n">
        <v>0.23</v>
      </c>
      <c r="I131" s="60" t="n">
        <v>24.76</v>
      </c>
      <c r="J131" s="55" t="n">
        <v>6.01</v>
      </c>
      <c r="K131" s="60" t="n">
        <v>18.68</v>
      </c>
      <c r="L131" s="60" t="n">
        <v>233.56</v>
      </c>
      <c r="M131" s="60" t="n">
        <v>13.8</v>
      </c>
      <c r="N131" s="60" t="n">
        <v>5.18</v>
      </c>
      <c r="O131" s="40" t="n">
        <v>30</v>
      </c>
      <c r="P131" s="40" t="n">
        <f aca="false">(D131+F131)*4.2+E131*9</f>
        <v>344.61282</v>
      </c>
    </row>
    <row r="132" customFormat="false" ht="12.75" hidden="false" customHeight="false" outlineLevel="0" collapsed="false">
      <c r="A132" s="110"/>
      <c r="B132" s="115" t="s">
        <v>45</v>
      </c>
      <c r="C132" s="116" t="n">
        <v>100</v>
      </c>
      <c r="D132" s="117" t="n">
        <v>0.4</v>
      </c>
      <c r="E132" s="117" t="n">
        <v>0</v>
      </c>
      <c r="F132" s="117" t="n">
        <v>9.8</v>
      </c>
      <c r="G132" s="117" t="n">
        <v>42.84</v>
      </c>
      <c r="H132" s="79" t="n">
        <v>0.1</v>
      </c>
      <c r="I132" s="55"/>
      <c r="J132" s="79" t="n">
        <v>25.2</v>
      </c>
      <c r="K132" s="79" t="n">
        <v>13.46</v>
      </c>
      <c r="L132" s="79" t="n">
        <v>54.84</v>
      </c>
      <c r="M132" s="79" t="n">
        <v>9.85</v>
      </c>
      <c r="N132" s="79" t="n">
        <v>0.03</v>
      </c>
      <c r="O132" s="40" t="n">
        <v>8</v>
      </c>
      <c r="P132" s="40" t="n">
        <f aca="false">(D132+F132)*4.2+E132*9</f>
        <v>42.84</v>
      </c>
    </row>
    <row r="133" customFormat="false" ht="16.5" hidden="false" customHeight="true" outlineLevel="0" collapsed="false">
      <c r="A133" s="100" t="s">
        <v>42</v>
      </c>
      <c r="B133" s="68" t="s">
        <v>70</v>
      </c>
      <c r="C133" s="69" t="n">
        <v>200</v>
      </c>
      <c r="D133" s="76" t="n">
        <v>1.15</v>
      </c>
      <c r="E133" s="77"/>
      <c r="F133" s="76" t="n">
        <v>12.03</v>
      </c>
      <c r="G133" s="76" t="n">
        <v>55.4</v>
      </c>
      <c r="H133" s="101" t="n">
        <v>0.01</v>
      </c>
      <c r="I133" s="101" t="n">
        <v>0.58</v>
      </c>
      <c r="J133" s="102"/>
      <c r="K133" s="101" t="n">
        <v>17.31</v>
      </c>
      <c r="L133" s="102"/>
      <c r="M133" s="102"/>
      <c r="N133" s="101" t="n">
        <v>0.65</v>
      </c>
      <c r="O133" s="40" t="n">
        <v>7</v>
      </c>
      <c r="P133" s="40" t="n">
        <f aca="false">(D133+F133)*4.2+E133*9</f>
        <v>55.356</v>
      </c>
    </row>
    <row r="134" customFormat="false" ht="12.75" hidden="false" customHeight="false" outlineLevel="0" collapsed="false">
      <c r="A134" s="82"/>
      <c r="B134" s="122" t="s">
        <v>28</v>
      </c>
      <c r="C134" s="59" t="n">
        <v>50</v>
      </c>
      <c r="D134" s="76" t="n">
        <f aca="false">3.04*1.25</f>
        <v>3.8</v>
      </c>
      <c r="E134" s="74" t="n">
        <f aca="false">0.32*1.25</f>
        <v>0.4</v>
      </c>
      <c r="F134" s="76" t="n">
        <f aca="false">19.68*1.25</f>
        <v>24.6</v>
      </c>
      <c r="G134" s="76" t="n">
        <f aca="false">98.34*1.25</f>
        <v>122.925</v>
      </c>
      <c r="H134" s="60" t="n">
        <v>0.04</v>
      </c>
      <c r="I134" s="55"/>
      <c r="J134" s="55"/>
      <c r="K134" s="79" t="n">
        <v>8</v>
      </c>
      <c r="L134" s="55" t="n">
        <v>26</v>
      </c>
      <c r="M134" s="55" t="n">
        <v>5.6</v>
      </c>
      <c r="N134" s="60" t="n">
        <v>0.44</v>
      </c>
      <c r="O134" s="40" t="n">
        <v>2.8</v>
      </c>
      <c r="P134" s="40" t="n">
        <f aca="false">(D134+F134)*4.2+E134*9</f>
        <v>122.88</v>
      </c>
    </row>
    <row r="135" customFormat="false" ht="12.75" hidden="false" customHeight="false" outlineLevel="0" collapsed="false">
      <c r="A135" s="72"/>
      <c r="B135" s="134"/>
      <c r="C135" s="119" t="n">
        <f aca="false">SUM(C130:C134)</f>
        <v>550</v>
      </c>
      <c r="D135" s="76"/>
      <c r="E135" s="76"/>
      <c r="F135" s="76"/>
      <c r="G135" s="76"/>
      <c r="H135" s="79"/>
      <c r="I135" s="55"/>
      <c r="J135" s="55"/>
      <c r="K135" s="79"/>
      <c r="L135" s="55"/>
      <c r="M135" s="55"/>
      <c r="N135" s="79"/>
      <c r="P135" s="40" t="n">
        <f aca="false">(D135+F135)*4.2+E135*9</f>
        <v>0</v>
      </c>
    </row>
    <row r="136" customFormat="false" ht="18.75" hidden="false" customHeight="true" outlineLevel="0" collapsed="false">
      <c r="A136" s="72"/>
      <c r="B136" s="191" t="s">
        <v>81</v>
      </c>
      <c r="C136" s="119"/>
      <c r="D136" s="105" t="n">
        <f aca="false">D137+D138+D139+D140+D141+D142</f>
        <v>23.7397</v>
      </c>
      <c r="E136" s="105" t="n">
        <f aca="false">E137+E138+E139+E140+E141+E142</f>
        <v>30.477</v>
      </c>
      <c r="F136" s="105" t="n">
        <f aca="false">F137+F138+F139+F140+F141+F142</f>
        <v>127.8191</v>
      </c>
      <c r="G136" s="105" t="n">
        <f aca="false">G137+G138+G139+G140+G141+G142</f>
        <v>910.565</v>
      </c>
      <c r="H136" s="105" t="n">
        <f aca="false">H137+H138+H139+H140+H141+H142</f>
        <v>0.279</v>
      </c>
      <c r="I136" s="105" t="n">
        <f aca="false">I137+I138+I139+I140+I141+I142</f>
        <v>21.17</v>
      </c>
      <c r="J136" s="105" t="n">
        <f aca="false">J137+J138+J139+J140+J141+J142</f>
        <v>25.2</v>
      </c>
      <c r="K136" s="105" t="n">
        <f aca="false">K137+K138+K139+K140+K141+K142</f>
        <v>89.6</v>
      </c>
      <c r="L136" s="105" t="n">
        <f aca="false">L137+L138+L139+L140+L141+L142</f>
        <v>197.9</v>
      </c>
      <c r="M136" s="105" t="n">
        <f aca="false">M137+M138+M139+M140+M141+M142</f>
        <v>64.56</v>
      </c>
      <c r="N136" s="105" t="n">
        <f aca="false">N137+N138+N139+N140+N141+N142</f>
        <v>4.65</v>
      </c>
      <c r="O136" s="106" t="n">
        <f aca="false">O137+O138+O139+O140+O141+O142</f>
        <v>92.2</v>
      </c>
      <c r="P136" s="40" t="n">
        <f aca="false">(D136+F136)*4.2+E136*9</f>
        <v>910.83996</v>
      </c>
    </row>
    <row r="137" customFormat="false" ht="12.75" hidden="false" customHeight="false" outlineLevel="0" collapsed="false">
      <c r="A137" s="72" t="s">
        <v>92</v>
      </c>
      <c r="B137" s="195" t="s">
        <v>93</v>
      </c>
      <c r="C137" s="93" t="n">
        <v>100</v>
      </c>
      <c r="D137" s="108" t="n">
        <f aca="false">1.21*1.67</f>
        <v>2.0207</v>
      </c>
      <c r="E137" s="74" t="n">
        <f aca="false">6.2*1.67</f>
        <v>10.354</v>
      </c>
      <c r="F137" s="74" t="n">
        <f aca="false">12.33*1.67</f>
        <v>20.5911</v>
      </c>
      <c r="G137" s="74" t="n">
        <f aca="false">113*1.67</f>
        <v>188.71</v>
      </c>
      <c r="H137" s="74" t="n">
        <v>0.02</v>
      </c>
      <c r="I137" s="74" t="n">
        <v>2.53</v>
      </c>
      <c r="J137" s="74"/>
      <c r="K137" s="74" t="n">
        <v>27.92</v>
      </c>
      <c r="L137" s="74" t="n">
        <v>36.55</v>
      </c>
      <c r="M137" s="74" t="n">
        <v>19.35</v>
      </c>
      <c r="N137" s="74" t="n">
        <v>0.6</v>
      </c>
      <c r="O137" s="91" t="n">
        <v>10.8</v>
      </c>
      <c r="P137" s="40" t="n">
        <f aca="false">(D137+F137)*4.2+E137*9</f>
        <v>188.15556</v>
      </c>
    </row>
    <row r="138" customFormat="false" ht="24" hidden="false" customHeight="false" outlineLevel="0" collapsed="false">
      <c r="A138" s="72" t="s">
        <v>113</v>
      </c>
      <c r="B138" s="73" t="s">
        <v>225</v>
      </c>
      <c r="C138" s="59" t="n">
        <v>250</v>
      </c>
      <c r="D138" s="74" t="n">
        <f aca="false">3.1*1.25</f>
        <v>3.875</v>
      </c>
      <c r="E138" s="74" t="n">
        <f aca="false">4.02*1.25</f>
        <v>5.025</v>
      </c>
      <c r="F138" s="74" t="n">
        <f aca="false">16.92*1.25</f>
        <v>21.15</v>
      </c>
      <c r="G138" s="74" t="n">
        <f aca="false">120.26*1.25</f>
        <v>150.325</v>
      </c>
      <c r="H138" s="74" t="n">
        <v>0.13</v>
      </c>
      <c r="I138" s="74" t="n">
        <v>16.52</v>
      </c>
      <c r="J138" s="77"/>
      <c r="K138" s="74" t="n">
        <v>19.05</v>
      </c>
      <c r="L138" s="74" t="n">
        <v>66.5</v>
      </c>
      <c r="M138" s="74" t="n">
        <v>26.6</v>
      </c>
      <c r="N138" s="74" t="n">
        <v>0.98</v>
      </c>
      <c r="O138" s="40" t="n">
        <v>7.6</v>
      </c>
      <c r="P138" s="40" t="n">
        <f aca="false">(D138+F138)*4.2+E138*9</f>
        <v>150.33</v>
      </c>
    </row>
    <row r="139" customFormat="false" ht="12.75" hidden="false" customHeight="false" outlineLevel="0" collapsed="false">
      <c r="A139" s="89" t="n">
        <v>370</v>
      </c>
      <c r="B139" s="68" t="s">
        <v>78</v>
      </c>
      <c r="C139" s="90" t="n">
        <v>115</v>
      </c>
      <c r="D139" s="76" t="n">
        <v>6.32</v>
      </c>
      <c r="E139" s="76" t="n">
        <v>8.79</v>
      </c>
      <c r="F139" s="76" t="n">
        <v>19.37</v>
      </c>
      <c r="G139" s="76" t="n">
        <v>187.01</v>
      </c>
      <c r="H139" s="79" t="n">
        <v>0.08</v>
      </c>
      <c r="I139" s="79" t="n">
        <v>0.6</v>
      </c>
      <c r="J139" s="55"/>
      <c r="K139" s="79" t="n">
        <v>17.6</v>
      </c>
      <c r="L139" s="79" t="n">
        <v>13.35</v>
      </c>
      <c r="M139" s="79" t="n">
        <v>2.94</v>
      </c>
      <c r="N139" s="79" t="n">
        <v>2.26</v>
      </c>
      <c r="O139" s="40" t="n">
        <v>59</v>
      </c>
      <c r="P139" s="40" t="n">
        <f aca="false">(D139+F139)*4.2+E139*9</f>
        <v>187.008</v>
      </c>
    </row>
    <row r="140" customFormat="false" ht="12.75" hidden="false" customHeight="false" outlineLevel="0" collapsed="false">
      <c r="A140" s="94" t="s">
        <v>98</v>
      </c>
      <c r="B140" s="190" t="s">
        <v>99</v>
      </c>
      <c r="C140" s="69" t="n">
        <v>180</v>
      </c>
      <c r="D140" s="76" t="n">
        <f aca="false">8.77*1.2</f>
        <v>10.524</v>
      </c>
      <c r="E140" s="76" t="n">
        <f aca="false">5.19*1.2</f>
        <v>6.228</v>
      </c>
      <c r="F140" s="76" t="n">
        <f aca="false">39.6*1.23</f>
        <v>48.708</v>
      </c>
      <c r="G140" s="76" t="n">
        <v>304</v>
      </c>
      <c r="H140" s="69"/>
      <c r="I140" s="93"/>
      <c r="J140" s="69" t="n">
        <v>25.2</v>
      </c>
      <c r="K140" s="69" t="n">
        <v>13.46</v>
      </c>
      <c r="L140" s="69" t="n">
        <v>54.84</v>
      </c>
      <c r="M140" s="69" t="n">
        <v>9.85</v>
      </c>
      <c r="N140" s="69" t="n">
        <v>0.03</v>
      </c>
      <c r="O140" s="40" t="n">
        <v>7</v>
      </c>
      <c r="P140" s="40" t="n">
        <f aca="false">(D140+F140)*4.2+E140*9</f>
        <v>304.8264</v>
      </c>
    </row>
    <row r="141" customFormat="false" ht="12.75" hidden="false" customHeight="false" outlineLevel="0" collapsed="false">
      <c r="A141" s="67" t="s">
        <v>35</v>
      </c>
      <c r="B141" s="75" t="s">
        <v>36</v>
      </c>
      <c r="C141" s="69" t="n">
        <v>200</v>
      </c>
      <c r="D141" s="76" t="n">
        <v>0</v>
      </c>
      <c r="E141" s="76" t="n">
        <v>0</v>
      </c>
      <c r="F141" s="76" t="n">
        <v>10</v>
      </c>
      <c r="G141" s="76" t="n">
        <v>42</v>
      </c>
      <c r="H141" s="76" t="n">
        <v>0.009</v>
      </c>
      <c r="I141" s="76" t="n">
        <v>1.52</v>
      </c>
      <c r="J141" s="77"/>
      <c r="K141" s="76" t="n">
        <v>3.57</v>
      </c>
      <c r="L141" s="76" t="n">
        <v>0.66</v>
      </c>
      <c r="M141" s="76" t="n">
        <v>0.22</v>
      </c>
      <c r="N141" s="76" t="n">
        <v>0.34</v>
      </c>
      <c r="O141" s="40" t="n">
        <v>5</v>
      </c>
      <c r="P141" s="40" t="n">
        <f aca="false">(D141+F141)*4.2+E141*9</f>
        <v>42</v>
      </c>
    </row>
    <row r="142" customFormat="false" ht="12" hidden="false" customHeight="true" outlineLevel="0" collapsed="false">
      <c r="A142" s="80"/>
      <c r="B142" s="122" t="s">
        <v>100</v>
      </c>
      <c r="C142" s="59" t="n">
        <v>20</v>
      </c>
      <c r="D142" s="76" t="n">
        <v>1</v>
      </c>
      <c r="E142" s="74" t="n">
        <v>0.08</v>
      </c>
      <c r="F142" s="76" t="n">
        <v>8</v>
      </c>
      <c r="G142" s="76" t="n">
        <v>38.52</v>
      </c>
      <c r="H142" s="59" t="n">
        <v>0.04</v>
      </c>
      <c r="I142" s="93"/>
      <c r="J142" s="93"/>
      <c r="K142" s="69" t="n">
        <v>8</v>
      </c>
      <c r="L142" s="93" t="n">
        <v>26</v>
      </c>
      <c r="M142" s="93" t="n">
        <v>5.6</v>
      </c>
      <c r="N142" s="59" t="n">
        <v>0.44</v>
      </c>
      <c r="O142" s="40" t="n">
        <v>2.8</v>
      </c>
      <c r="P142" s="40" t="n">
        <f aca="false">(D142+F142)*4.2+E142*9</f>
        <v>38.52</v>
      </c>
    </row>
    <row r="143" customFormat="false" ht="12.75" hidden="false" customHeight="false" outlineLevel="0" collapsed="false">
      <c r="A143" s="177"/>
      <c r="B143" s="75"/>
      <c r="C143" s="123" t="n">
        <f aca="false">SUM(C137:C142)</f>
        <v>865</v>
      </c>
      <c r="D143" s="76"/>
      <c r="E143" s="74"/>
      <c r="F143" s="76"/>
      <c r="G143" s="76"/>
      <c r="H143" s="59"/>
      <c r="I143" s="93"/>
      <c r="J143" s="93"/>
      <c r="K143" s="69"/>
      <c r="L143" s="93"/>
      <c r="M143" s="93"/>
      <c r="N143" s="59"/>
      <c r="P143" s="40" t="n">
        <f aca="false">(D143+F143)*4.2+E143*9</f>
        <v>0</v>
      </c>
    </row>
    <row r="144" customFormat="false" ht="12.75" hidden="false" customHeight="false" outlineLevel="0" collapsed="false">
      <c r="A144" s="173" t="s">
        <v>247</v>
      </c>
      <c r="B144" s="62" t="s">
        <v>170</v>
      </c>
      <c r="C144" s="62"/>
      <c r="D144" s="105" t="n">
        <f aca="false">D145+D152</f>
        <v>49.4819</v>
      </c>
      <c r="E144" s="105" t="n">
        <f aca="false">E145+E152</f>
        <v>51.6927</v>
      </c>
      <c r="F144" s="105" t="n">
        <f aca="false">F145+F152</f>
        <v>188.2019</v>
      </c>
      <c r="G144" s="105" t="n">
        <f aca="false">G145+G152</f>
        <v>1465.4585</v>
      </c>
      <c r="H144" s="105" t="n">
        <f aca="false">H145+H152</f>
        <v>0.6</v>
      </c>
      <c r="I144" s="105" t="n">
        <f aca="false">I145+I152</f>
        <v>71.45</v>
      </c>
      <c r="J144" s="105" t="n">
        <f aca="false">J145+J152</f>
        <v>0.34</v>
      </c>
      <c r="K144" s="105" t="n">
        <f aca="false">K145+K152</f>
        <v>281.49</v>
      </c>
      <c r="L144" s="105" t="n">
        <f aca="false">L145+L152</f>
        <v>332.28</v>
      </c>
      <c r="M144" s="105" t="n">
        <f aca="false">M145+M152</f>
        <v>76.59</v>
      </c>
      <c r="N144" s="105" t="n">
        <f aca="false">N145+N152</f>
        <v>10.55</v>
      </c>
      <c r="O144" s="106" t="n">
        <f aca="false">O145+O152</f>
        <v>160.7</v>
      </c>
      <c r="P144" s="178"/>
      <c r="Q144" s="178"/>
      <c r="R144" s="178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80"/>
    </row>
    <row r="145" customFormat="false" ht="12.75" hidden="false" customHeight="false" outlineLevel="0" collapsed="false">
      <c r="A145" s="136"/>
      <c r="B145" s="193" t="s">
        <v>18</v>
      </c>
      <c r="C145" s="66"/>
      <c r="D145" s="105" t="n">
        <f aca="false">D146+D147+D148+D149+D150</f>
        <v>26.382</v>
      </c>
      <c r="E145" s="105" t="n">
        <f aca="false">E146+E147+E148+E149+E150</f>
        <v>13.664</v>
      </c>
      <c r="F145" s="105" t="n">
        <f aca="false">F146+F147+F148+F149+F150</f>
        <v>87.74</v>
      </c>
      <c r="G145" s="105" t="n">
        <f aca="false">G146+G147+G148+G149+G150</f>
        <v>603.101</v>
      </c>
      <c r="H145" s="105" t="n">
        <f aca="false">H146+H147+H148+H150</f>
        <v>0.2</v>
      </c>
      <c r="I145" s="105" t="n">
        <f aca="false">I146+I147+I148+I150</f>
        <v>17.75</v>
      </c>
      <c r="J145" s="105" t="n">
        <f aca="false">J146+J147+J148+J150</f>
        <v>0.34</v>
      </c>
      <c r="K145" s="105" t="n">
        <f aca="false">K146+K147+K148+K150</f>
        <v>158.6</v>
      </c>
      <c r="L145" s="105" t="n">
        <f aca="false">L146+L147+L148+L150</f>
        <v>188.4</v>
      </c>
      <c r="M145" s="105" t="n">
        <f aca="false">M146+M147+M148+M150</f>
        <v>24.8</v>
      </c>
      <c r="N145" s="105" t="n">
        <f aca="false">N146+N147+N148+N150</f>
        <v>5.07</v>
      </c>
      <c r="O145" s="106" t="n">
        <f aca="false">O146+O147+O148+O150</f>
        <v>77.5</v>
      </c>
      <c r="P145" s="181" t="n">
        <f aca="false">(D145+F145)*4.2+E145*9</f>
        <v>602.2884</v>
      </c>
      <c r="Q145" s="181"/>
      <c r="R145" s="181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80"/>
    </row>
    <row r="146" customFormat="false" ht="12.75" hidden="false" customHeight="false" outlineLevel="0" collapsed="false">
      <c r="A146" s="67" t="n">
        <v>110</v>
      </c>
      <c r="B146" s="75" t="s">
        <v>73</v>
      </c>
      <c r="C146" s="69" t="n">
        <v>100</v>
      </c>
      <c r="D146" s="76" t="n">
        <v>17.83</v>
      </c>
      <c r="E146" s="76" t="n">
        <v>7.99</v>
      </c>
      <c r="F146" s="76" t="n">
        <v>4.25</v>
      </c>
      <c r="G146" s="76" t="n">
        <v>165</v>
      </c>
      <c r="H146" s="69" t="n">
        <v>0.11</v>
      </c>
      <c r="I146" s="182" t="n">
        <v>1.75</v>
      </c>
      <c r="J146" s="69" t="n">
        <v>0.34</v>
      </c>
      <c r="K146" s="69" t="n">
        <v>124.93</v>
      </c>
      <c r="L146" s="69" t="n">
        <v>188.4</v>
      </c>
      <c r="M146" s="69" t="n">
        <v>24.8</v>
      </c>
      <c r="N146" s="69" t="n">
        <v>1.03</v>
      </c>
      <c r="O146" s="40" t="n">
        <v>49</v>
      </c>
      <c r="P146" s="181" t="n">
        <f aca="false">(D146+F146)*4.2+E146*9</f>
        <v>164.646</v>
      </c>
      <c r="Q146" s="155"/>
      <c r="R146" s="149"/>
      <c r="S146" s="149"/>
      <c r="T146" s="149"/>
      <c r="U146" s="149"/>
      <c r="V146" s="149"/>
      <c r="W146" s="160"/>
      <c r="X146" s="160"/>
      <c r="Y146" s="160"/>
      <c r="Z146" s="159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</row>
    <row r="147" customFormat="false" ht="12.75" hidden="false" customHeight="false" outlineLevel="0" collapsed="false">
      <c r="A147" s="182" t="s">
        <v>58</v>
      </c>
      <c r="B147" s="190" t="s">
        <v>59</v>
      </c>
      <c r="C147" s="69" t="n">
        <v>180</v>
      </c>
      <c r="D147" s="76" t="n">
        <f aca="false">3.81*1.2</f>
        <v>4.572</v>
      </c>
      <c r="E147" s="76" t="n">
        <f aca="false">2.72*1.2</f>
        <v>3.264</v>
      </c>
      <c r="F147" s="76" t="n">
        <f aca="false">40*1.2</f>
        <v>48</v>
      </c>
      <c r="G147" s="76" t="n">
        <f aca="false">208.48*1.2</f>
        <v>250.176</v>
      </c>
      <c r="H147" s="55"/>
      <c r="I147" s="55"/>
      <c r="J147" s="55"/>
      <c r="K147" s="69" t="n">
        <v>0.47</v>
      </c>
      <c r="L147" s="53"/>
      <c r="M147" s="53"/>
      <c r="N147" s="69" t="n">
        <v>0.04</v>
      </c>
      <c r="O147" s="40" t="n">
        <v>2.5</v>
      </c>
      <c r="P147" s="181" t="n">
        <f aca="false">(D147+F147)*4.2+E147*9</f>
        <v>250.1784</v>
      </c>
      <c r="Q147" s="183"/>
      <c r="R147" s="149"/>
      <c r="S147" s="149"/>
      <c r="T147" s="149"/>
      <c r="U147" s="149"/>
      <c r="V147" s="149"/>
      <c r="W147" s="160"/>
      <c r="X147" s="159"/>
      <c r="Y147" s="159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</row>
    <row r="148" customFormat="false" ht="12.75" hidden="false" customHeight="false" outlineLevel="0" collapsed="false">
      <c r="A148" s="80" t="s">
        <v>74</v>
      </c>
      <c r="B148" s="75" t="s">
        <v>75</v>
      </c>
      <c r="C148" s="59" t="n">
        <v>20</v>
      </c>
      <c r="D148" s="76" t="n">
        <v>0.18</v>
      </c>
      <c r="E148" s="74" t="n">
        <v>2.01</v>
      </c>
      <c r="F148" s="76" t="n">
        <v>0.89</v>
      </c>
      <c r="G148" s="76" t="n">
        <v>23</v>
      </c>
      <c r="H148" s="60" t="n">
        <v>0.04</v>
      </c>
      <c r="I148" s="55"/>
      <c r="J148" s="55"/>
      <c r="K148" s="69" t="n">
        <v>7.6</v>
      </c>
      <c r="L148" s="53"/>
      <c r="M148" s="53"/>
      <c r="N148" s="59" t="n">
        <v>0.48</v>
      </c>
      <c r="O148" s="40" t="n">
        <v>4</v>
      </c>
      <c r="P148" s="181" t="n">
        <f aca="false">(D148+F148)*4.2+E148*9</f>
        <v>22.584</v>
      </c>
      <c r="Q148" s="155"/>
      <c r="R148" s="149"/>
      <c r="S148" s="149"/>
      <c r="T148" s="156"/>
      <c r="U148" s="149"/>
      <c r="V148" s="149"/>
      <c r="W148" s="160"/>
      <c r="X148" s="160"/>
      <c r="Y148" s="160"/>
      <c r="Z148" s="159"/>
      <c r="AA148" s="159"/>
      <c r="AB148" s="159"/>
      <c r="AC148" s="159"/>
      <c r="AD148" s="159"/>
      <c r="AE148" s="159"/>
      <c r="AF148" s="159"/>
      <c r="AG148" s="160"/>
      <c r="AH148" s="159"/>
      <c r="AI148" s="159"/>
      <c r="AJ148" s="160"/>
    </row>
    <row r="149" customFormat="false" ht="12.75" hidden="false" customHeight="false" outlineLevel="0" collapsed="false">
      <c r="A149" s="67" t="s">
        <v>35</v>
      </c>
      <c r="B149" s="75" t="s">
        <v>36</v>
      </c>
      <c r="C149" s="81" t="n">
        <v>200</v>
      </c>
      <c r="D149" s="76" t="n">
        <v>0</v>
      </c>
      <c r="E149" s="74" t="n">
        <v>0</v>
      </c>
      <c r="F149" s="76" t="n">
        <v>10</v>
      </c>
      <c r="G149" s="76" t="n">
        <v>42</v>
      </c>
      <c r="H149" s="60"/>
      <c r="I149" s="55"/>
      <c r="J149" s="55"/>
      <c r="K149" s="69"/>
      <c r="L149" s="53"/>
      <c r="M149" s="53"/>
      <c r="N149" s="59"/>
      <c r="P149" s="181" t="n">
        <f aca="false">(D149+F149)*4.2+E149*9</f>
        <v>42</v>
      </c>
      <c r="Q149" s="155"/>
      <c r="R149" s="149"/>
      <c r="S149" s="149"/>
      <c r="T149" s="156"/>
      <c r="U149" s="149"/>
      <c r="V149" s="149"/>
      <c r="W149" s="160"/>
      <c r="X149" s="160"/>
      <c r="Y149" s="160"/>
      <c r="Z149" s="159"/>
      <c r="AA149" s="159"/>
      <c r="AB149" s="159"/>
      <c r="AC149" s="159"/>
      <c r="AD149" s="159"/>
      <c r="AE149" s="159"/>
      <c r="AF149" s="159"/>
      <c r="AG149" s="160"/>
      <c r="AH149" s="159"/>
      <c r="AI149" s="159"/>
      <c r="AJ149" s="160"/>
    </row>
    <row r="150" customFormat="false" ht="12.75" hidden="false" customHeight="false" outlineLevel="0" collapsed="false">
      <c r="A150" s="82"/>
      <c r="B150" s="122" t="s">
        <v>28</v>
      </c>
      <c r="C150" s="59" t="n">
        <v>50</v>
      </c>
      <c r="D150" s="76" t="n">
        <f aca="false">3.04*1.25</f>
        <v>3.8</v>
      </c>
      <c r="E150" s="74" t="n">
        <f aca="false">0.32*1.25</f>
        <v>0.4</v>
      </c>
      <c r="F150" s="76" t="n">
        <f aca="false">19.68*1.25</f>
        <v>24.6</v>
      </c>
      <c r="G150" s="76" t="n">
        <f aca="false">98.34*1.25</f>
        <v>122.925</v>
      </c>
      <c r="H150" s="79" t="n">
        <v>0.05</v>
      </c>
      <c r="I150" s="60" t="n">
        <v>16</v>
      </c>
      <c r="J150" s="55"/>
      <c r="K150" s="59" t="n">
        <v>25.6</v>
      </c>
      <c r="L150" s="53"/>
      <c r="M150" s="53"/>
      <c r="N150" s="59" t="n">
        <v>3.52</v>
      </c>
      <c r="O150" s="40" t="n">
        <v>22</v>
      </c>
      <c r="P150" s="181" t="n">
        <f aca="false">(D150+F150)*4.2+E150*9</f>
        <v>122.88</v>
      </c>
      <c r="Q150" s="155"/>
      <c r="R150" s="143"/>
      <c r="S150" s="149"/>
      <c r="T150" s="143"/>
      <c r="U150" s="149"/>
      <c r="V150" s="149"/>
      <c r="W150" s="162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60"/>
      <c r="AH150" s="159"/>
      <c r="AI150" s="159"/>
      <c r="AJ150" s="162"/>
    </row>
    <row r="151" customFormat="false" ht="12.75" hidden="false" customHeight="false" outlineLevel="0" collapsed="false">
      <c r="A151" s="72"/>
      <c r="B151" s="75"/>
      <c r="C151" s="170" t="n">
        <f aca="false">SUM(C146:C150)</f>
        <v>550</v>
      </c>
      <c r="D151" s="76"/>
      <c r="E151" s="74"/>
      <c r="F151" s="76"/>
      <c r="G151" s="76"/>
      <c r="H151" s="60"/>
      <c r="I151" s="55"/>
      <c r="J151" s="55"/>
      <c r="K151" s="79"/>
      <c r="L151" s="55"/>
      <c r="M151" s="55"/>
      <c r="N151" s="60"/>
      <c r="P151" s="181" t="n">
        <f aca="false">(D151+F151)*4.2+E151*9</f>
        <v>0</v>
      </c>
      <c r="Q151" s="155"/>
      <c r="R151" s="184"/>
      <c r="S151" s="185"/>
      <c r="T151" s="186"/>
      <c r="U151" s="185"/>
      <c r="V151" s="185"/>
      <c r="W151" s="160"/>
      <c r="X151" s="162"/>
      <c r="Y151" s="162"/>
      <c r="Z151" s="159"/>
      <c r="AA151" s="159"/>
      <c r="AB151" s="159"/>
      <c r="AC151" s="159"/>
      <c r="AD151" s="159"/>
      <c r="AE151" s="159"/>
      <c r="AF151" s="159"/>
      <c r="AG151" s="162"/>
      <c r="AH151" s="159"/>
      <c r="AI151" s="159"/>
      <c r="AJ151" s="162"/>
    </row>
    <row r="152" customFormat="false" ht="12.75" hidden="false" customHeight="false" outlineLevel="0" collapsed="false">
      <c r="A152" s="72"/>
      <c r="B152" s="191" t="s">
        <v>81</v>
      </c>
      <c r="C152" s="119"/>
      <c r="D152" s="105" t="n">
        <f aca="false">D153+D154+D155+D156+D157+D158</f>
        <v>23.0999</v>
      </c>
      <c r="E152" s="105" t="n">
        <f aca="false">E153+E154+E155+E156+E157+E158</f>
        <v>38.0287</v>
      </c>
      <c r="F152" s="105" t="n">
        <f aca="false">F153+F154+F155+F156+F157+F158</f>
        <v>100.4619</v>
      </c>
      <c r="G152" s="105" t="n">
        <f aca="false">G153+G154+G155+G156+G157+G158</f>
        <v>862.3575</v>
      </c>
      <c r="H152" s="105" t="n">
        <f aca="false">H153+H154+H155+H156+H157+H158</f>
        <v>0.4</v>
      </c>
      <c r="I152" s="105" t="n">
        <f aca="false">I153+I154+I155+I156+I157+I158</f>
        <v>53.7</v>
      </c>
      <c r="J152" s="105" t="n">
        <f aca="false">J153+J154+J155+J156+J157+J158</f>
        <v>0</v>
      </c>
      <c r="K152" s="105" t="n">
        <f aca="false">K153+K154+K155+K156+K157+K158</f>
        <v>122.89</v>
      </c>
      <c r="L152" s="105" t="n">
        <f aca="false">L153+L154+L155+L156+L157+L158</f>
        <v>143.88</v>
      </c>
      <c r="M152" s="105" t="n">
        <f aca="false">M153+M154+M155+M156+M157+M158</f>
        <v>51.79</v>
      </c>
      <c r="N152" s="105" t="n">
        <f aca="false">N153+N154+N155+N156+N157+N158</f>
        <v>5.48</v>
      </c>
      <c r="O152" s="106" t="n">
        <f aca="false">O153+O154+O155+O156+O157+O158</f>
        <v>83.2</v>
      </c>
      <c r="P152" s="181" t="n">
        <f aca="false">(D152+F152)*4.2+E152*9</f>
        <v>861.21786</v>
      </c>
      <c r="Q152" s="155"/>
      <c r="R152" s="184"/>
      <c r="S152" s="185"/>
      <c r="T152" s="186"/>
      <c r="U152" s="185"/>
      <c r="V152" s="185"/>
      <c r="W152" s="160"/>
      <c r="X152" s="162"/>
      <c r="Y152" s="162"/>
      <c r="Z152" s="159"/>
      <c r="AA152" s="159"/>
      <c r="AB152" s="159"/>
      <c r="AC152" s="159"/>
      <c r="AD152" s="159"/>
      <c r="AE152" s="159"/>
      <c r="AF152" s="159"/>
      <c r="AG152" s="162"/>
      <c r="AH152" s="159"/>
      <c r="AI152" s="159"/>
      <c r="AJ152" s="162"/>
    </row>
    <row r="153" customFormat="false" ht="12.75" hidden="false" customHeight="false" outlineLevel="0" collapsed="false">
      <c r="A153" s="124" t="s">
        <v>107</v>
      </c>
      <c r="B153" s="107" t="s">
        <v>108</v>
      </c>
      <c r="C153" s="93" t="n">
        <v>100</v>
      </c>
      <c r="D153" s="125" t="n">
        <f aca="false">0.74*1.66</f>
        <v>1.2284</v>
      </c>
      <c r="E153" s="125" t="n">
        <f aca="false">0.06*1.67</f>
        <v>0.1002</v>
      </c>
      <c r="F153" s="125" t="n">
        <f aca="false">6.92*1.67</f>
        <v>11.5564</v>
      </c>
      <c r="G153" s="125" t="n">
        <f aca="false">33*1.67</f>
        <v>55.11</v>
      </c>
      <c r="H153" s="79" t="n">
        <v>0.04</v>
      </c>
      <c r="I153" s="79" t="n">
        <v>15</v>
      </c>
      <c r="J153" s="77"/>
      <c r="K153" s="79" t="n">
        <v>8.4</v>
      </c>
      <c r="L153" s="79"/>
      <c r="M153" s="79"/>
      <c r="N153" s="79" t="n">
        <v>0.54</v>
      </c>
      <c r="O153" s="40" t="n">
        <v>10.9</v>
      </c>
      <c r="P153" s="181" t="n">
        <f aca="false">(D153+F153)*4.2+E153*9</f>
        <v>54.59796</v>
      </c>
      <c r="Q153" s="155"/>
      <c r="R153" s="184"/>
      <c r="S153" s="185"/>
      <c r="T153" s="186"/>
      <c r="U153" s="185"/>
      <c r="V153" s="185"/>
      <c r="W153" s="160"/>
      <c r="X153" s="162"/>
      <c r="Y153" s="162"/>
      <c r="Z153" s="159"/>
      <c r="AA153" s="159"/>
      <c r="AB153" s="159"/>
      <c r="AC153" s="159"/>
      <c r="AD153" s="159"/>
      <c r="AE153" s="159"/>
      <c r="AF153" s="159"/>
      <c r="AG153" s="162"/>
      <c r="AH153" s="159"/>
      <c r="AI153" s="159"/>
      <c r="AJ153" s="162"/>
    </row>
    <row r="154" customFormat="false" ht="12.75" hidden="false" customHeight="false" outlineLevel="0" collapsed="false">
      <c r="A154" s="99" t="s">
        <v>130</v>
      </c>
      <c r="B154" s="73" t="s">
        <v>249</v>
      </c>
      <c r="C154" s="59" t="n">
        <v>250</v>
      </c>
      <c r="D154" s="74" t="n">
        <f aca="false">4.91*1.25</f>
        <v>6.1375</v>
      </c>
      <c r="E154" s="74" t="n">
        <f aca="false">11.01*1.25</f>
        <v>13.7625</v>
      </c>
      <c r="F154" s="74" t="n">
        <f aca="false">15.43*1.25</f>
        <v>19.2875</v>
      </c>
      <c r="G154" s="74" t="n">
        <f aca="false">184.83*1.25</f>
        <v>231.0375</v>
      </c>
      <c r="H154" s="74" t="s">
        <v>171</v>
      </c>
      <c r="I154" s="74" t="s">
        <v>218</v>
      </c>
      <c r="J154" s="77"/>
      <c r="K154" s="74" t="s">
        <v>219</v>
      </c>
      <c r="L154" s="74" t="s">
        <v>220</v>
      </c>
      <c r="M154" s="74" t="s">
        <v>221</v>
      </c>
      <c r="N154" s="74" t="s">
        <v>222</v>
      </c>
      <c r="O154" s="40" t="n">
        <v>9.6</v>
      </c>
      <c r="P154" s="181" t="n">
        <f aca="false">(D154+F154)*4.2+E154*9</f>
        <v>230.6475</v>
      </c>
      <c r="Q154" s="155"/>
      <c r="R154" s="184"/>
      <c r="S154" s="185"/>
      <c r="T154" s="186"/>
      <c r="U154" s="185"/>
      <c r="V154" s="185"/>
      <c r="W154" s="160"/>
      <c r="X154" s="162"/>
      <c r="Y154" s="162"/>
      <c r="Z154" s="159"/>
      <c r="AA154" s="159"/>
      <c r="AB154" s="159"/>
      <c r="AC154" s="159"/>
      <c r="AD154" s="159"/>
      <c r="AE154" s="159"/>
      <c r="AF154" s="159"/>
      <c r="AG154" s="162"/>
      <c r="AH154" s="159"/>
      <c r="AI154" s="159"/>
      <c r="AJ154" s="162"/>
    </row>
    <row r="155" customFormat="false" ht="12.75" hidden="false" customHeight="false" outlineLevel="0" collapsed="false">
      <c r="A155" s="72" t="n">
        <v>298</v>
      </c>
      <c r="B155" s="73" t="s">
        <v>50</v>
      </c>
      <c r="C155" s="59" t="n">
        <v>105</v>
      </c>
      <c r="D155" s="74" t="n">
        <v>6.14</v>
      </c>
      <c r="E155" s="74" t="n">
        <v>11.91</v>
      </c>
      <c r="F155" s="74" t="n">
        <v>10.92</v>
      </c>
      <c r="G155" s="74" t="n">
        <v>178.84</v>
      </c>
      <c r="H155" s="74" t="s">
        <v>194</v>
      </c>
      <c r="I155" s="74" t="s">
        <v>212</v>
      </c>
      <c r="J155" s="77"/>
      <c r="K155" s="74" t="s">
        <v>213</v>
      </c>
      <c r="L155" s="74" t="s">
        <v>214</v>
      </c>
      <c r="M155" s="74" t="s">
        <v>215</v>
      </c>
      <c r="N155" s="74" t="s">
        <v>216</v>
      </c>
      <c r="O155" s="40" t="n">
        <v>35.7</v>
      </c>
      <c r="P155" s="181" t="n">
        <f aca="false">(D155+F155)*4.2+E155*9</f>
        <v>178.842</v>
      </c>
      <c r="Q155" s="155"/>
      <c r="R155" s="184"/>
      <c r="S155" s="185"/>
      <c r="T155" s="186"/>
      <c r="U155" s="185"/>
      <c r="V155" s="185"/>
      <c r="W155" s="160"/>
      <c r="X155" s="162"/>
      <c r="Y155" s="162"/>
      <c r="Z155" s="159"/>
      <c r="AA155" s="159"/>
      <c r="AB155" s="159"/>
      <c r="AC155" s="159"/>
      <c r="AD155" s="159"/>
      <c r="AE155" s="159"/>
      <c r="AF155" s="159"/>
      <c r="AG155" s="162"/>
      <c r="AH155" s="159"/>
      <c r="AI155" s="159"/>
      <c r="AJ155" s="162"/>
    </row>
    <row r="156" customFormat="false" ht="12.75" hidden="false" customHeight="false" outlineLevel="0" collapsed="false">
      <c r="A156" s="121" t="s">
        <v>132</v>
      </c>
      <c r="B156" s="75" t="s">
        <v>133</v>
      </c>
      <c r="C156" s="69" t="n">
        <v>180</v>
      </c>
      <c r="D156" s="76" t="n">
        <f aca="false">5.77*1.2</f>
        <v>6.924</v>
      </c>
      <c r="E156" s="76" t="n">
        <f aca="false">10.08*1.2</f>
        <v>12.096</v>
      </c>
      <c r="F156" s="76" t="n">
        <f aca="false">30.69*1.2</f>
        <v>36.828</v>
      </c>
      <c r="G156" s="76" t="n">
        <f aca="false">244*1.2</f>
        <v>292.8</v>
      </c>
      <c r="H156" s="69" t="n">
        <v>0.08</v>
      </c>
      <c r="I156" s="69" t="n">
        <v>17.8</v>
      </c>
      <c r="J156" s="93"/>
      <c r="K156" s="69" t="n">
        <v>53.08</v>
      </c>
      <c r="L156" s="69" t="n">
        <v>64.28</v>
      </c>
      <c r="M156" s="69" t="n">
        <v>23.23</v>
      </c>
      <c r="N156" s="69" t="n">
        <v>0.86</v>
      </c>
      <c r="O156" s="40" t="n">
        <v>17</v>
      </c>
      <c r="P156" s="181" t="n">
        <f aca="false">(D156+F156)*4.2+E156*9</f>
        <v>292.6224</v>
      </c>
      <c r="Q156" s="155"/>
      <c r="R156" s="184"/>
      <c r="S156" s="185"/>
      <c r="T156" s="186"/>
      <c r="U156" s="185"/>
      <c r="V156" s="185"/>
      <c r="W156" s="160"/>
      <c r="X156" s="162"/>
      <c r="Y156" s="162"/>
      <c r="Z156" s="159"/>
      <c r="AA156" s="159"/>
      <c r="AB156" s="159"/>
      <c r="AC156" s="159"/>
      <c r="AD156" s="159"/>
      <c r="AE156" s="159"/>
      <c r="AF156" s="159"/>
      <c r="AG156" s="162"/>
      <c r="AH156" s="159"/>
      <c r="AI156" s="159"/>
      <c r="AJ156" s="162"/>
    </row>
    <row r="157" customFormat="false" ht="17.25" hidden="false" customHeight="true" outlineLevel="0" collapsed="false">
      <c r="A157" s="132" t="s">
        <v>42</v>
      </c>
      <c r="B157" s="68" t="s">
        <v>70</v>
      </c>
      <c r="C157" s="69" t="n">
        <v>200</v>
      </c>
      <c r="D157" s="76" t="n">
        <v>1.15</v>
      </c>
      <c r="E157" s="133"/>
      <c r="F157" s="76" t="n">
        <v>12.03</v>
      </c>
      <c r="G157" s="76" t="n">
        <v>55.4</v>
      </c>
      <c r="H157" s="74" t="s">
        <v>200</v>
      </c>
      <c r="I157" s="76" t="s">
        <v>201</v>
      </c>
      <c r="J157" s="77"/>
      <c r="K157" s="76" t="s">
        <v>202</v>
      </c>
      <c r="L157" s="77"/>
      <c r="M157" s="77"/>
      <c r="N157" s="74" t="s">
        <v>203</v>
      </c>
      <c r="O157" s="40" t="n">
        <v>7</v>
      </c>
      <c r="P157" s="181" t="n">
        <f aca="false">(D157+F157)*4.2+E157*9</f>
        <v>55.356</v>
      </c>
      <c r="Q157" s="155"/>
      <c r="R157" s="184"/>
      <c r="S157" s="185"/>
      <c r="T157" s="186"/>
      <c r="U157" s="185"/>
      <c r="V157" s="185"/>
      <c r="W157" s="160"/>
      <c r="X157" s="162"/>
      <c r="Y157" s="162"/>
      <c r="Z157" s="159"/>
      <c r="AA157" s="159"/>
      <c r="AB157" s="159"/>
      <c r="AC157" s="159"/>
      <c r="AD157" s="159"/>
      <c r="AE157" s="159"/>
      <c r="AF157" s="159"/>
      <c r="AG157" s="162"/>
      <c r="AH157" s="159"/>
      <c r="AI157" s="159"/>
      <c r="AJ157" s="162"/>
    </row>
    <row r="158" customFormat="false" ht="12.75" hidden="false" customHeight="false" outlineLevel="0" collapsed="false">
      <c r="A158" s="80"/>
      <c r="B158" s="122" t="s">
        <v>28</v>
      </c>
      <c r="C158" s="59" t="n">
        <v>20</v>
      </c>
      <c r="D158" s="76" t="n">
        <v>1.52</v>
      </c>
      <c r="E158" s="74" t="n">
        <v>0.16</v>
      </c>
      <c r="F158" s="76" t="n">
        <v>9.84</v>
      </c>
      <c r="G158" s="76" t="n">
        <v>49.17</v>
      </c>
      <c r="H158" s="74" t="n">
        <v>0.04</v>
      </c>
      <c r="I158" s="77"/>
      <c r="J158" s="77"/>
      <c r="K158" s="76" t="n">
        <v>7.25</v>
      </c>
      <c r="L158" s="77" t="n">
        <v>32.5</v>
      </c>
      <c r="M158" s="77" t="n">
        <v>10.5</v>
      </c>
      <c r="N158" s="74" t="n">
        <v>0.9</v>
      </c>
      <c r="O158" s="40" t="n">
        <v>3</v>
      </c>
      <c r="P158" s="181" t="n">
        <f aca="false">(D158+F158)*4.2+E158*9</f>
        <v>49.152</v>
      </c>
      <c r="Q158" s="155"/>
      <c r="R158" s="184"/>
      <c r="S158" s="185"/>
      <c r="T158" s="186"/>
      <c r="U158" s="185"/>
      <c r="V158" s="185"/>
      <c r="W158" s="160"/>
      <c r="X158" s="162"/>
      <c r="Y158" s="162"/>
      <c r="Z158" s="159"/>
      <c r="AA158" s="159"/>
      <c r="AB158" s="159"/>
      <c r="AC158" s="159"/>
      <c r="AD158" s="159"/>
      <c r="AE158" s="159"/>
      <c r="AF158" s="159"/>
      <c r="AG158" s="162"/>
      <c r="AH158" s="159"/>
      <c r="AI158" s="159"/>
      <c r="AJ158" s="162"/>
    </row>
    <row r="159" customFormat="false" ht="12.75" hidden="false" customHeight="false" outlineLevel="0" collapsed="false">
      <c r="A159" s="72"/>
      <c r="B159" s="187"/>
      <c r="C159" s="188" t="n">
        <f aca="false">SUM(C153:C158)</f>
        <v>855</v>
      </c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P159" s="181" t="n">
        <f aca="false">(D159+F159)*4.2+E159*9</f>
        <v>0</v>
      </c>
      <c r="Q159" s="155"/>
      <c r="R159" s="184"/>
      <c r="S159" s="185"/>
      <c r="T159" s="186"/>
      <c r="U159" s="185"/>
      <c r="V159" s="185"/>
      <c r="W159" s="160"/>
      <c r="X159" s="162"/>
      <c r="Y159" s="162"/>
      <c r="Z159" s="159"/>
      <c r="AA159" s="159"/>
      <c r="AB159" s="159"/>
      <c r="AC159" s="159"/>
      <c r="AD159" s="159"/>
      <c r="AE159" s="159"/>
      <c r="AF159" s="159"/>
      <c r="AG159" s="162"/>
      <c r="AH159" s="159"/>
      <c r="AI159" s="159"/>
      <c r="AJ159" s="162"/>
    </row>
    <row r="160" customFormat="false" ht="12.75" hidden="false" customHeight="false" outlineLevel="0" collapsed="false">
      <c r="A160" s="72"/>
      <c r="B160" s="75"/>
      <c r="C160" s="59"/>
      <c r="D160" s="69"/>
      <c r="E160" s="59"/>
      <c r="F160" s="116"/>
      <c r="G160" s="69"/>
      <c r="H160" s="60"/>
      <c r="I160" s="203"/>
      <c r="J160" s="55"/>
      <c r="K160" s="79"/>
      <c r="L160" s="55"/>
      <c r="M160" s="55"/>
      <c r="N160" s="60"/>
      <c r="P160" s="181" t="n">
        <f aca="false">(D160+F160)*4.2+E160*9</f>
        <v>0</v>
      </c>
    </row>
    <row r="161" customFormat="false" ht="12.75" hidden="false" customHeight="false" outlineLevel="0" collapsed="false">
      <c r="A161" s="72"/>
      <c r="B161" s="75"/>
      <c r="C161" s="59"/>
      <c r="D161" s="69"/>
      <c r="E161" s="59"/>
      <c r="F161" s="69"/>
      <c r="G161" s="69"/>
      <c r="H161" s="60"/>
      <c r="I161" s="55"/>
      <c r="J161" s="55"/>
      <c r="K161" s="79"/>
      <c r="L161" s="55"/>
      <c r="M161" s="55"/>
      <c r="N161" s="60"/>
    </row>
  </sheetData>
  <mergeCells count="15">
    <mergeCell ref="C1:J2"/>
    <mergeCell ref="D3:F3"/>
    <mergeCell ref="G3:G4"/>
    <mergeCell ref="H3:I3"/>
    <mergeCell ref="K3:N3"/>
    <mergeCell ref="B6:C6"/>
    <mergeCell ref="B24:C24"/>
    <mergeCell ref="B39:C39"/>
    <mergeCell ref="B55:C55"/>
    <mergeCell ref="B69:C69"/>
    <mergeCell ref="B84:C84"/>
    <mergeCell ref="A98:C98"/>
    <mergeCell ref="B128:C128"/>
    <mergeCell ref="B144:C144"/>
    <mergeCell ref="P144:R144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1:AA182"/>
  <sheetViews>
    <sheetView showFormulas="false" showGridLines="true" showRowColHeaders="true" showZeros="true" rightToLeft="false" tabSelected="false" showOutlineSymbols="true" defaultGridColor="true" view="normal" topLeftCell="A114" colorId="64" zoomScale="136" zoomScaleNormal="136" zoomScalePageLayoutView="100" workbookViewId="0">
      <selection pane="topLeft" activeCell="E134" activeCellId="0" sqref="E134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2" width="34.29"/>
    <col collapsed="false" customWidth="true" hidden="false" outlineLevel="0" max="3" min="3" style="1" width="11.42"/>
    <col collapsed="false" customWidth="true" hidden="false" outlineLevel="0" max="4" min="4" style="1" width="7.29"/>
    <col collapsed="false" customWidth="true" hidden="false" outlineLevel="0" max="5" min="5" style="1" width="7.71"/>
    <col collapsed="false" customWidth="true" hidden="false" outlineLevel="0" max="6" min="6" style="1" width="7.42"/>
    <col collapsed="false" customWidth="true" hidden="false" outlineLevel="0" max="7" min="7" style="1" width="11.57"/>
    <col collapsed="false" customWidth="true" hidden="false" outlineLevel="0" max="8" min="8" style="3" width="12.86"/>
    <col collapsed="false" customWidth="false" hidden="false" outlineLevel="0" max="1024" min="9" style="3" width="9.14"/>
  </cols>
  <sheetData>
    <row r="1" customFormat="false" ht="12.75" hidden="false" customHeight="true" outlineLevel="0" collapsed="false">
      <c r="A1" s="4" t="s">
        <v>255</v>
      </c>
      <c r="B1" s="4"/>
      <c r="C1" s="4"/>
      <c r="D1" s="4"/>
      <c r="E1" s="4"/>
      <c r="F1" s="4"/>
      <c r="G1" s="4"/>
    </row>
    <row r="2" customFormat="false" ht="12.75" hidden="false" customHeight="false" outlineLevel="0" collapsed="false">
      <c r="A2" s="4"/>
      <c r="B2" s="4"/>
      <c r="C2" s="4"/>
      <c r="D2" s="4"/>
      <c r="E2" s="4"/>
      <c r="F2" s="4"/>
      <c r="G2" s="4"/>
    </row>
    <row r="3" customFormat="false" ht="12.75" hidden="false" customHeight="true" outlineLevel="0" collapsed="false">
      <c r="A3" s="5" t="s">
        <v>256</v>
      </c>
      <c r="B3" s="5"/>
      <c r="C3" s="5"/>
      <c r="D3" s="5"/>
      <c r="E3" s="5"/>
      <c r="F3" s="5"/>
      <c r="G3" s="5"/>
    </row>
    <row r="4" customFormat="false" ht="45" hidden="false" customHeight="true" outlineLevel="0" collapsed="false">
      <c r="A4" s="5"/>
      <c r="B4" s="5"/>
      <c r="C4" s="5"/>
      <c r="D4" s="5"/>
      <c r="E4" s="5"/>
      <c r="F4" s="5"/>
      <c r="G4" s="5"/>
    </row>
    <row r="5" customFormat="false" ht="33.75" hidden="false" customHeight="true" outlineLevel="0" collapsed="false">
      <c r="A5" s="6" t="s">
        <v>2</v>
      </c>
      <c r="B5" s="6" t="s">
        <v>3</v>
      </c>
      <c r="C5" s="6" t="s">
        <v>4</v>
      </c>
      <c r="D5" s="6" t="s">
        <v>5</v>
      </c>
      <c r="E5" s="6"/>
      <c r="F5" s="6"/>
      <c r="G5" s="6" t="s">
        <v>6</v>
      </c>
    </row>
    <row r="6" customFormat="false" ht="34.5" hidden="false" customHeight="true" outlineLevel="0" collapsed="false">
      <c r="A6" s="6"/>
      <c r="B6" s="6"/>
      <c r="C6" s="6"/>
      <c r="D6" s="6" t="s">
        <v>7</v>
      </c>
      <c r="E6" s="6" t="s">
        <v>8</v>
      </c>
      <c r="F6" s="6" t="s">
        <v>9</v>
      </c>
      <c r="G6" s="6"/>
    </row>
    <row r="7" customFormat="false" ht="12.75" hidden="false" customHeight="false" outlineLevel="0" collapsed="false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</row>
    <row r="8" customFormat="false" ht="27.95" hidden="false" customHeight="true" outlineLevel="0" collapsed="false">
      <c r="A8" s="6" t="s">
        <v>17</v>
      </c>
      <c r="B8" s="6"/>
      <c r="C8" s="6"/>
      <c r="D8" s="8" t="n">
        <f aca="false">D9+D19</f>
        <v>45.8254</v>
      </c>
      <c r="E8" s="8" t="n">
        <f aca="false">E9+E19</f>
        <v>52.6246</v>
      </c>
      <c r="F8" s="8" t="n">
        <f aca="false">F9+F19</f>
        <v>214.6561</v>
      </c>
      <c r="G8" s="8" t="n">
        <f aca="false">G9+G19</f>
        <v>1568.21</v>
      </c>
    </row>
    <row r="9" customFormat="false" ht="12.75" hidden="false" customHeight="false" outlineLevel="0" collapsed="false">
      <c r="A9" s="6"/>
      <c r="B9" s="7" t="s">
        <v>18</v>
      </c>
      <c r="C9" s="6"/>
      <c r="D9" s="8" t="n">
        <f aca="false">D10+D11+D12+D13+D14+D15</f>
        <v>18.8725</v>
      </c>
      <c r="E9" s="8" t="n">
        <f aca="false">E10+E11+E12+E13+E14+E15</f>
        <v>22.5625</v>
      </c>
      <c r="F9" s="8" t="n">
        <f aca="false">F10+F11+F12+F13+F14+F15</f>
        <v>111.5875</v>
      </c>
      <c r="G9" s="8" t="n">
        <f aca="false">G10+G11+G12+G13+G14+G15</f>
        <v>751.235</v>
      </c>
    </row>
    <row r="10" customFormat="false" ht="12.75" hidden="false" customHeight="false" outlineLevel="0" collapsed="false">
      <c r="A10" s="9" t="s">
        <v>19</v>
      </c>
      <c r="B10" s="10" t="s">
        <v>20</v>
      </c>
      <c r="C10" s="9" t="n">
        <v>10</v>
      </c>
      <c r="D10" s="11" t="n">
        <v>2.6</v>
      </c>
      <c r="E10" s="11" t="n">
        <v>2.65</v>
      </c>
      <c r="F10" s="11" t="n">
        <v>0.35</v>
      </c>
      <c r="G10" s="11" t="n">
        <v>36.24</v>
      </c>
    </row>
    <row r="11" customFormat="false" ht="12.75" hidden="false" customHeight="false" outlineLevel="0" collapsed="false">
      <c r="A11" s="9" t="s">
        <v>21</v>
      </c>
      <c r="B11" s="10" t="s">
        <v>22</v>
      </c>
      <c r="C11" s="9" t="n">
        <v>5</v>
      </c>
      <c r="D11" s="11" t="n">
        <v>0.05</v>
      </c>
      <c r="E11" s="11" t="n">
        <v>3.63</v>
      </c>
      <c r="F11" s="11" t="n">
        <v>0.07</v>
      </c>
      <c r="G11" s="11" t="n">
        <v>33.11</v>
      </c>
    </row>
    <row r="12" customFormat="false" ht="25.5" hidden="false" customHeight="false" outlineLevel="0" collapsed="false">
      <c r="A12" s="9" t="s">
        <v>23</v>
      </c>
      <c r="B12" s="10" t="s">
        <v>24</v>
      </c>
      <c r="C12" s="9" t="n">
        <v>255</v>
      </c>
      <c r="D12" s="11" t="n">
        <f aca="false">6.81*1.25</f>
        <v>8.5125</v>
      </c>
      <c r="E12" s="11" t="n">
        <f aca="false">10.45*1.25</f>
        <v>13.0625</v>
      </c>
      <c r="F12" s="11" t="n">
        <f aca="false">29.51*1.25</f>
        <v>36.8875</v>
      </c>
      <c r="G12" s="11" t="n">
        <f aca="false">246.6*1.25</f>
        <v>308.25</v>
      </c>
    </row>
    <row r="13" customFormat="false" ht="12.75" hidden="false" customHeight="false" outlineLevel="0" collapsed="false">
      <c r="A13" s="9"/>
      <c r="B13" s="10" t="s">
        <v>25</v>
      </c>
      <c r="C13" s="9" t="n">
        <v>40</v>
      </c>
      <c r="D13" s="11" t="n">
        <v>1.92</v>
      </c>
      <c r="E13" s="11" t="n">
        <v>1.12</v>
      </c>
      <c r="F13" s="11" t="n">
        <v>31.08</v>
      </c>
      <c r="G13" s="11" t="n">
        <v>148.68</v>
      </c>
    </row>
    <row r="14" customFormat="false" ht="12.75" hidden="false" customHeight="false" outlineLevel="0" collapsed="false">
      <c r="A14" s="9" t="s">
        <v>26</v>
      </c>
      <c r="B14" s="10" t="s">
        <v>27</v>
      </c>
      <c r="C14" s="9" t="n">
        <v>200</v>
      </c>
      <c r="D14" s="11" t="n">
        <v>1.99</v>
      </c>
      <c r="E14" s="11" t="n">
        <v>1.7</v>
      </c>
      <c r="F14" s="11" t="n">
        <v>18.6</v>
      </c>
      <c r="G14" s="11" t="n">
        <v>102.03</v>
      </c>
    </row>
    <row r="15" customFormat="false" ht="12.75" hidden="false" customHeight="false" outlineLevel="0" collapsed="false">
      <c r="A15" s="9"/>
      <c r="B15" s="10" t="s">
        <v>28</v>
      </c>
      <c r="C15" s="9" t="n">
        <v>50</v>
      </c>
      <c r="D15" s="11" t="n">
        <f aca="false">3.04*1.25</f>
        <v>3.8</v>
      </c>
      <c r="E15" s="11" t="n">
        <f aca="false">0.32*1.25</f>
        <v>0.4</v>
      </c>
      <c r="F15" s="11" t="n">
        <f aca="false">19.68*1.25</f>
        <v>24.6</v>
      </c>
      <c r="G15" s="11" t="n">
        <f aca="false">98.34*1.25</f>
        <v>122.925</v>
      </c>
    </row>
    <row r="16" customFormat="false" ht="12.75" hidden="true" customHeight="false" outlineLevel="0" collapsed="false">
      <c r="A16" s="12"/>
      <c r="B16" s="10"/>
      <c r="C16" s="12"/>
      <c r="D16" s="11"/>
      <c r="E16" s="11"/>
      <c r="F16" s="11"/>
      <c r="G16" s="11"/>
    </row>
    <row r="17" customFormat="false" ht="12.75" hidden="true" customHeight="false" outlineLevel="0" collapsed="false">
      <c r="A17" s="9"/>
      <c r="B17" s="10"/>
      <c r="C17" s="9"/>
      <c r="D17" s="11"/>
      <c r="E17" s="11"/>
      <c r="F17" s="11"/>
      <c r="G17" s="11"/>
    </row>
    <row r="18" customFormat="false" ht="12.75" hidden="false" customHeight="true" outlineLevel="0" collapsed="false">
      <c r="A18" s="13" t="s">
        <v>29</v>
      </c>
      <c r="B18" s="13"/>
      <c r="C18" s="6" t="n">
        <f aca="false">SUM(C10:C17)</f>
        <v>560</v>
      </c>
      <c r="D18" s="11"/>
      <c r="E18" s="11"/>
      <c r="F18" s="11"/>
      <c r="G18" s="11"/>
    </row>
    <row r="19" customFormat="false" ht="12.75" hidden="false" customHeight="false" outlineLevel="0" collapsed="false">
      <c r="A19" s="9"/>
      <c r="B19" s="7" t="s">
        <v>81</v>
      </c>
      <c r="C19" s="6"/>
      <c r="D19" s="8" t="n">
        <f aca="false">D20+D21+D22+D23+D24</f>
        <v>26.9529</v>
      </c>
      <c r="E19" s="8" t="n">
        <f aca="false">E20+E21+E22+E23+E24</f>
        <v>30.0621</v>
      </c>
      <c r="F19" s="8" t="n">
        <f aca="false">F20+F21+F22+F23+F24</f>
        <v>103.0686</v>
      </c>
      <c r="G19" s="8" t="n">
        <f aca="false">G20+G21+G22+G23+G24</f>
        <v>816.975</v>
      </c>
    </row>
    <row r="20" customFormat="false" ht="12.75" hidden="false" customHeight="false" outlineLevel="0" collapsed="false">
      <c r="A20" s="9" t="s">
        <v>82</v>
      </c>
      <c r="B20" s="10" t="s">
        <v>83</v>
      </c>
      <c r="C20" s="9" t="n">
        <v>100</v>
      </c>
      <c r="D20" s="11" t="n">
        <f aca="false">0.94*1.66</f>
        <v>1.5604</v>
      </c>
      <c r="E20" s="11" t="n">
        <f aca="false">4.06*1.66</f>
        <v>6.7396</v>
      </c>
      <c r="F20" s="11" t="n">
        <f aca="false">5.96*1.66</f>
        <v>9.8936</v>
      </c>
      <c r="G20" s="11" t="n">
        <v>108.76</v>
      </c>
    </row>
    <row r="21" customFormat="false" ht="15" hidden="false" customHeight="true" outlineLevel="0" collapsed="false">
      <c r="A21" s="9" t="s">
        <v>84</v>
      </c>
      <c r="B21" s="10" t="s">
        <v>85</v>
      </c>
      <c r="C21" s="9" t="n">
        <v>255</v>
      </c>
      <c r="D21" s="11" t="n">
        <f aca="false">3.09*1.25</f>
        <v>3.8625</v>
      </c>
      <c r="E21" s="11" t="n">
        <f aca="false">4.61*1.25</f>
        <v>5.7625</v>
      </c>
      <c r="F21" s="11" t="n">
        <f aca="false">12.54*1.25</f>
        <v>15.675</v>
      </c>
      <c r="G21" s="11" t="n">
        <f aca="false">107.36*1.25</f>
        <v>134.2</v>
      </c>
    </row>
    <row r="22" customFormat="false" ht="12.75" hidden="false" customHeight="false" outlineLevel="0" collapsed="false">
      <c r="A22" s="9" t="s">
        <v>46</v>
      </c>
      <c r="B22" s="10" t="s">
        <v>47</v>
      </c>
      <c r="C22" s="9" t="n">
        <v>200</v>
      </c>
      <c r="D22" s="11" t="n">
        <v>17.73</v>
      </c>
      <c r="E22" s="11" t="n">
        <v>17.16</v>
      </c>
      <c r="F22" s="11" t="n">
        <v>42.9</v>
      </c>
      <c r="G22" s="11" t="n">
        <v>409.09</v>
      </c>
    </row>
    <row r="23" customFormat="false" ht="12.75" hidden="false" customHeight="false" outlineLevel="0" collapsed="false">
      <c r="A23" s="9" t="s">
        <v>35</v>
      </c>
      <c r="B23" s="10" t="s">
        <v>36</v>
      </c>
      <c r="C23" s="9" t="n">
        <v>200</v>
      </c>
      <c r="D23" s="11" t="n">
        <v>0</v>
      </c>
      <c r="E23" s="11" t="n">
        <v>0</v>
      </c>
      <c r="F23" s="11" t="n">
        <v>10</v>
      </c>
      <c r="G23" s="11" t="n">
        <v>42</v>
      </c>
    </row>
    <row r="24" customFormat="false" ht="12.75" hidden="false" customHeight="false" outlineLevel="0" collapsed="false">
      <c r="A24" s="9"/>
      <c r="B24" s="10" t="s">
        <v>28</v>
      </c>
      <c r="C24" s="9" t="n">
        <v>50</v>
      </c>
      <c r="D24" s="11" t="n">
        <f aca="false">3.04*1.25</f>
        <v>3.8</v>
      </c>
      <c r="E24" s="11" t="n">
        <f aca="false">0.32*1.25</f>
        <v>0.4</v>
      </c>
      <c r="F24" s="11" t="n">
        <f aca="false">19.68*1.25</f>
        <v>24.6</v>
      </c>
      <c r="G24" s="11" t="n">
        <f aca="false">98.34*1.25</f>
        <v>122.925</v>
      </c>
    </row>
    <row r="25" customFormat="false" ht="12.75" hidden="false" customHeight="true" outlineLevel="0" collapsed="false">
      <c r="A25" s="13" t="s">
        <v>29</v>
      </c>
      <c r="B25" s="13"/>
      <c r="C25" s="6" t="n">
        <f aca="false">SUM(C20:C24)</f>
        <v>805</v>
      </c>
      <c r="D25" s="11"/>
      <c r="E25" s="11"/>
      <c r="F25" s="11"/>
      <c r="G25" s="11"/>
    </row>
    <row r="26" customFormat="false" ht="27.95" hidden="false" customHeight="true" outlineLevel="0" collapsed="false">
      <c r="A26" s="6" t="s">
        <v>30</v>
      </c>
      <c r="B26" s="6"/>
      <c r="C26" s="6"/>
      <c r="D26" s="8" t="n">
        <f aca="false">D27+D33</f>
        <v>46.36244</v>
      </c>
      <c r="E26" s="8" t="n">
        <f aca="false">E27+E33</f>
        <v>50.04346</v>
      </c>
      <c r="F26" s="8" t="n">
        <f aca="false">F27+F33</f>
        <v>225.64628</v>
      </c>
      <c r="G26" s="8" t="n">
        <f aca="false">G27+G33</f>
        <v>1595.2985</v>
      </c>
    </row>
    <row r="27" customFormat="false" ht="12.75" hidden="false" customHeight="false" outlineLevel="0" collapsed="false">
      <c r="A27" s="6"/>
      <c r="B27" s="7" t="s">
        <v>18</v>
      </c>
      <c r="C27" s="6"/>
      <c r="D27" s="8" t="n">
        <f aca="false">D28+D29+D30+D31</f>
        <v>18.0625</v>
      </c>
      <c r="E27" s="8" t="n">
        <f aca="false">E28+E29+E30+E31</f>
        <v>13.1675</v>
      </c>
      <c r="F27" s="8" t="n">
        <f aca="false">F28+F29+F30+F31</f>
        <v>121.3775</v>
      </c>
      <c r="G27" s="8" t="n">
        <f aca="false">G28+G29+G30+G31</f>
        <v>705.835</v>
      </c>
    </row>
    <row r="28" customFormat="false" ht="25.5" hidden="false" customHeight="false" outlineLevel="0" collapsed="false">
      <c r="A28" s="9" t="s">
        <v>23</v>
      </c>
      <c r="B28" s="10" t="s">
        <v>136</v>
      </c>
      <c r="C28" s="9" t="n">
        <v>253</v>
      </c>
      <c r="D28" s="11" t="n">
        <f aca="false">7.81*1.25</f>
        <v>9.7625</v>
      </c>
      <c r="E28" s="11" t="n">
        <f aca="false">4.55*1.25</f>
        <v>5.6875</v>
      </c>
      <c r="F28" s="11" t="n">
        <f aca="false">33.47*1.25</f>
        <v>41.8375</v>
      </c>
      <c r="G28" s="11" t="n">
        <v>267.91</v>
      </c>
    </row>
    <row r="29" customFormat="false" ht="12.75" hidden="false" customHeight="false" outlineLevel="0" collapsed="false">
      <c r="A29" s="9"/>
      <c r="B29" s="10" t="s">
        <v>60</v>
      </c>
      <c r="C29" s="9" t="n">
        <v>60</v>
      </c>
      <c r="D29" s="11" t="n">
        <f aca="false">1.5*3</f>
        <v>4.5</v>
      </c>
      <c r="E29" s="11" t="n">
        <f aca="false">2.36*3</f>
        <v>7.08</v>
      </c>
      <c r="F29" s="11" t="n">
        <f aca="false">14.98*3</f>
        <v>44.94</v>
      </c>
      <c r="G29" s="11" t="n">
        <f aca="false">91*3</f>
        <v>273</v>
      </c>
    </row>
    <row r="30" customFormat="false" ht="12.75" hidden="false" customHeight="false" outlineLevel="0" collapsed="false">
      <c r="A30" s="9" t="s">
        <v>35</v>
      </c>
      <c r="B30" s="10" t="s">
        <v>36</v>
      </c>
      <c r="C30" s="9" t="n">
        <v>200</v>
      </c>
      <c r="D30" s="11" t="n">
        <v>0</v>
      </c>
      <c r="E30" s="11" t="n">
        <v>0</v>
      </c>
      <c r="F30" s="11" t="n">
        <v>10</v>
      </c>
      <c r="G30" s="11" t="n">
        <v>42</v>
      </c>
    </row>
    <row r="31" customFormat="false" ht="12.75" hidden="false" customHeight="false" outlineLevel="0" collapsed="false">
      <c r="A31" s="9"/>
      <c r="B31" s="10" t="s">
        <v>28</v>
      </c>
      <c r="C31" s="9" t="n">
        <v>50</v>
      </c>
      <c r="D31" s="11" t="n">
        <f aca="false">3.04*1.25</f>
        <v>3.8</v>
      </c>
      <c r="E31" s="11" t="n">
        <f aca="false">0.32*1.25</f>
        <v>0.4</v>
      </c>
      <c r="F31" s="11" t="n">
        <f aca="false">19.68*1.25</f>
        <v>24.6</v>
      </c>
      <c r="G31" s="11" t="n">
        <f aca="false">98.34*1.25</f>
        <v>122.925</v>
      </c>
    </row>
    <row r="32" customFormat="false" ht="12.75" hidden="false" customHeight="true" outlineLevel="0" collapsed="false">
      <c r="A32" s="13" t="s">
        <v>29</v>
      </c>
      <c r="B32" s="13"/>
      <c r="C32" s="6" t="n">
        <f aca="false">SUM(C28:C31)</f>
        <v>563</v>
      </c>
      <c r="D32" s="11"/>
      <c r="E32" s="11"/>
      <c r="F32" s="11"/>
      <c r="G32" s="11"/>
    </row>
    <row r="33" customFormat="false" ht="12.75" hidden="false" customHeight="false" outlineLevel="0" collapsed="false">
      <c r="A33" s="9"/>
      <c r="B33" s="7" t="s">
        <v>81</v>
      </c>
      <c r="C33" s="6"/>
      <c r="D33" s="8" t="n">
        <f aca="false">D34+D35+D36+D37+D38+D39</f>
        <v>28.29994</v>
      </c>
      <c r="E33" s="8" t="n">
        <f aca="false">E34+E35+E36+E37+E38+E39</f>
        <v>36.87596</v>
      </c>
      <c r="F33" s="8" t="n">
        <f aca="false">F34+F35+F36+F37+F38+F39</f>
        <v>104.26878</v>
      </c>
      <c r="G33" s="8" t="n">
        <f aca="false">G34+G35+G36+G37+G38+G39</f>
        <v>889.4635</v>
      </c>
    </row>
    <row r="34" customFormat="false" ht="12.75" hidden="false" customHeight="false" outlineLevel="0" collapsed="false">
      <c r="A34" s="9" t="s">
        <v>86</v>
      </c>
      <c r="B34" s="10" t="s">
        <v>87</v>
      </c>
      <c r="C34" s="9" t="n">
        <v>100</v>
      </c>
      <c r="D34" s="11" t="n">
        <f aca="false">0.84*1.666</f>
        <v>1.39944</v>
      </c>
      <c r="E34" s="11" t="n">
        <f aca="false">3.06*1.666</f>
        <v>5.09796</v>
      </c>
      <c r="F34" s="11" t="n">
        <f aca="false">6.83*1.666</f>
        <v>11.37878</v>
      </c>
      <c r="G34" s="11" t="n">
        <f aca="false">59.75*1.666</f>
        <v>99.5435</v>
      </c>
    </row>
    <row r="35" customFormat="false" ht="25.5" hidden="false" customHeight="false" outlineLevel="0" collapsed="false">
      <c r="A35" s="9" t="s">
        <v>88</v>
      </c>
      <c r="B35" s="10" t="s">
        <v>89</v>
      </c>
      <c r="C35" s="9" t="n">
        <v>255</v>
      </c>
      <c r="D35" s="11" t="n">
        <f aca="false">2.57*1.25</f>
        <v>3.2125</v>
      </c>
      <c r="E35" s="11" t="n">
        <f aca="false">9.24*1.25</f>
        <v>11.55</v>
      </c>
      <c r="F35" s="11" t="n">
        <f aca="false">18.04*1.25</f>
        <v>22.55</v>
      </c>
      <c r="G35" s="11" t="n">
        <f aca="false">169.72*1.25</f>
        <v>212.15</v>
      </c>
    </row>
    <row r="36" customFormat="false" ht="12.75" hidden="false" customHeight="false" outlineLevel="0" collapsed="false">
      <c r="A36" s="9" t="s">
        <v>90</v>
      </c>
      <c r="B36" s="10" t="s">
        <v>91</v>
      </c>
      <c r="C36" s="9" t="n">
        <v>100</v>
      </c>
      <c r="D36" s="11" t="n">
        <v>14.25</v>
      </c>
      <c r="E36" s="11" t="n">
        <v>16.66</v>
      </c>
      <c r="F36" s="11" t="n">
        <v>5.27</v>
      </c>
      <c r="G36" s="11" t="n">
        <v>232</v>
      </c>
    </row>
    <row r="37" customFormat="false" ht="12.75" hidden="false" customHeight="false" outlineLevel="0" collapsed="false">
      <c r="A37" s="9" t="s">
        <v>51</v>
      </c>
      <c r="B37" s="10" t="s">
        <v>52</v>
      </c>
      <c r="C37" s="9" t="n">
        <v>180</v>
      </c>
      <c r="D37" s="11" t="n">
        <f aca="false">5.64*1.2</f>
        <v>6.768</v>
      </c>
      <c r="E37" s="11" t="n">
        <f aca="false">2.84*1.2</f>
        <v>3.408</v>
      </c>
      <c r="F37" s="11" t="n">
        <f aca="false">36*1.2</f>
        <v>43.2</v>
      </c>
      <c r="G37" s="11" t="n">
        <f aca="false">201*1.2</f>
        <v>241.2</v>
      </c>
    </row>
    <row r="38" customFormat="false" ht="12.75" hidden="false" customHeight="false" outlineLevel="0" collapsed="false">
      <c r="A38" s="9" t="s">
        <v>42</v>
      </c>
      <c r="B38" s="10" t="s">
        <v>70</v>
      </c>
      <c r="C38" s="9" t="n">
        <v>200</v>
      </c>
      <c r="D38" s="11" t="n">
        <v>1.15</v>
      </c>
      <c r="E38" s="11"/>
      <c r="F38" s="11" t="n">
        <v>12.03</v>
      </c>
      <c r="G38" s="11" t="n">
        <v>55.4</v>
      </c>
    </row>
    <row r="39" customFormat="false" ht="12.75" hidden="false" customHeight="false" outlineLevel="0" collapsed="false">
      <c r="A39" s="9"/>
      <c r="B39" s="10" t="s">
        <v>28</v>
      </c>
      <c r="C39" s="9" t="n">
        <v>20</v>
      </c>
      <c r="D39" s="11" t="n">
        <v>1.52</v>
      </c>
      <c r="E39" s="11" t="n">
        <v>0.16</v>
      </c>
      <c r="F39" s="11" t="n">
        <v>9.84</v>
      </c>
      <c r="G39" s="11" t="n">
        <v>49.17</v>
      </c>
    </row>
    <row r="40" customFormat="false" ht="12.75" hidden="false" customHeight="true" outlineLevel="0" collapsed="false">
      <c r="A40" s="13" t="s">
        <v>29</v>
      </c>
      <c r="B40" s="13"/>
      <c r="C40" s="6" t="n">
        <f aca="false">SUM(C34:C39)</f>
        <v>855</v>
      </c>
      <c r="D40" s="11"/>
      <c r="E40" s="11"/>
      <c r="F40" s="11"/>
      <c r="G40" s="11"/>
    </row>
    <row r="41" customFormat="false" ht="27.95" hidden="false" customHeight="true" outlineLevel="0" collapsed="false">
      <c r="A41" s="6" t="s">
        <v>37</v>
      </c>
      <c r="B41" s="6"/>
      <c r="C41" s="6"/>
      <c r="D41" s="8" t="n">
        <f aca="false">D42+D48</f>
        <v>44.4271</v>
      </c>
      <c r="E41" s="8" t="n">
        <f aca="false">E42+E48</f>
        <v>40.8586</v>
      </c>
      <c r="F41" s="8" t="n">
        <f aca="false">F42+F48</f>
        <v>226.2124</v>
      </c>
      <c r="G41" s="8" t="n">
        <f aca="false">G42+G48</f>
        <v>1505.07</v>
      </c>
    </row>
    <row r="42" customFormat="false" ht="12.75" hidden="false" customHeight="false" outlineLevel="0" collapsed="false">
      <c r="A42" s="6"/>
      <c r="B42" s="7" t="s">
        <v>18</v>
      </c>
      <c r="C42" s="6"/>
      <c r="D42" s="8" t="n">
        <f aca="false">D43+D44+D45+D46</f>
        <v>14.44</v>
      </c>
      <c r="E42" s="8" t="n">
        <f aca="false">E43+E44+E45+E46</f>
        <v>8.58</v>
      </c>
      <c r="F42" s="8" t="n">
        <f aca="false">F43+F44+F45+F46</f>
        <v>106.42</v>
      </c>
      <c r="G42" s="8" t="n">
        <f aca="false">G43+G44+G45+G46</f>
        <v>584.71</v>
      </c>
    </row>
    <row r="43" customFormat="false" ht="12.75" hidden="false" customHeight="false" outlineLevel="0" collapsed="false">
      <c r="A43" s="9"/>
      <c r="B43" s="10" t="s">
        <v>45</v>
      </c>
      <c r="C43" s="9" t="n">
        <v>100</v>
      </c>
      <c r="D43" s="11" t="n">
        <v>0.4</v>
      </c>
      <c r="E43" s="11" t="n">
        <v>0</v>
      </c>
      <c r="F43" s="11" t="n">
        <v>9.8</v>
      </c>
      <c r="G43" s="11" t="n">
        <v>42.84</v>
      </c>
    </row>
    <row r="44" customFormat="false" ht="25.5" hidden="false" customHeight="false" outlineLevel="0" collapsed="false">
      <c r="A44" s="9" t="s">
        <v>23</v>
      </c>
      <c r="B44" s="10" t="s">
        <v>137</v>
      </c>
      <c r="C44" s="9" t="n">
        <v>203</v>
      </c>
      <c r="D44" s="11" t="n">
        <v>8.48</v>
      </c>
      <c r="E44" s="11" t="n">
        <v>8</v>
      </c>
      <c r="F44" s="11" t="n">
        <v>36.1</v>
      </c>
      <c r="G44" s="11" t="n">
        <v>259.36</v>
      </c>
    </row>
    <row r="45" customFormat="false" ht="21.75" hidden="false" customHeight="true" outlineLevel="0" collapsed="false">
      <c r="A45" s="9" t="s">
        <v>42</v>
      </c>
      <c r="B45" s="10" t="s">
        <v>43</v>
      </c>
      <c r="C45" s="9" t="n">
        <v>200</v>
      </c>
      <c r="D45" s="11" t="n">
        <v>1</v>
      </c>
      <c r="E45" s="11" t="n">
        <v>0.1</v>
      </c>
      <c r="F45" s="11" t="n">
        <v>31</v>
      </c>
      <c r="G45" s="11" t="n">
        <v>135</v>
      </c>
    </row>
    <row r="46" customFormat="false" ht="12.75" hidden="false" customHeight="false" outlineLevel="0" collapsed="false">
      <c r="A46" s="9"/>
      <c r="B46" s="10" t="s">
        <v>28</v>
      </c>
      <c r="C46" s="9" t="n">
        <v>60</v>
      </c>
      <c r="D46" s="11" t="n">
        <f aca="false">3.04*1.5</f>
        <v>4.56</v>
      </c>
      <c r="E46" s="11" t="n">
        <f aca="false">0.32*1.5</f>
        <v>0.48</v>
      </c>
      <c r="F46" s="11" t="n">
        <f aca="false">19.68*1.5</f>
        <v>29.52</v>
      </c>
      <c r="G46" s="11" t="n">
        <f aca="false">98.34*1.5</f>
        <v>147.51</v>
      </c>
    </row>
    <row r="47" customFormat="false" ht="12.75" hidden="false" customHeight="true" outlineLevel="0" collapsed="false">
      <c r="A47" s="13" t="s">
        <v>29</v>
      </c>
      <c r="B47" s="13"/>
      <c r="C47" s="6" t="n">
        <f aca="false">SUM(C43:C46)</f>
        <v>563</v>
      </c>
      <c r="D47" s="11"/>
      <c r="E47" s="11"/>
      <c r="F47" s="11"/>
      <c r="G47" s="11"/>
    </row>
    <row r="48" customFormat="false" ht="12.75" hidden="false" customHeight="false" outlineLevel="0" collapsed="false">
      <c r="A48" s="9"/>
      <c r="B48" s="7" t="s">
        <v>81</v>
      </c>
      <c r="C48" s="6"/>
      <c r="D48" s="8" t="n">
        <f aca="false">D49+D50+D51+D52+D53+D54</f>
        <v>29.9871</v>
      </c>
      <c r="E48" s="8" t="n">
        <f aca="false">E49+E50+E51+E52+E53+E54</f>
        <v>32.2786</v>
      </c>
      <c r="F48" s="8" t="n">
        <f aca="false">F49+F50+F51+F52+F53+F54</f>
        <v>119.7924</v>
      </c>
      <c r="G48" s="8" t="n">
        <f aca="false">G49+G50+G51+G52+G53+G54</f>
        <v>920.36</v>
      </c>
    </row>
    <row r="49" customFormat="false" ht="12.75" hidden="false" customHeight="false" outlineLevel="0" collapsed="false">
      <c r="A49" s="9" t="s">
        <v>92</v>
      </c>
      <c r="B49" s="10" t="s">
        <v>93</v>
      </c>
      <c r="C49" s="9" t="n">
        <v>100</v>
      </c>
      <c r="D49" s="11" t="n">
        <f aca="false">1.21*1.67</f>
        <v>2.0207</v>
      </c>
      <c r="E49" s="11" t="n">
        <f aca="false">6.2*1.67</f>
        <v>10.354</v>
      </c>
      <c r="F49" s="11" t="n">
        <f aca="false">12.33*1.67</f>
        <v>20.5911</v>
      </c>
      <c r="G49" s="11" t="n">
        <f aca="false">113*1.67</f>
        <v>188.71</v>
      </c>
    </row>
    <row r="50" customFormat="false" ht="25.5" hidden="false" customHeight="false" outlineLevel="0" collapsed="false">
      <c r="A50" s="9" t="s">
        <v>94</v>
      </c>
      <c r="B50" s="10" t="s">
        <v>95</v>
      </c>
      <c r="C50" s="9" t="n">
        <v>260</v>
      </c>
      <c r="D50" s="11" t="n">
        <f aca="false">2.64*1.25</f>
        <v>3.3</v>
      </c>
      <c r="E50" s="11" t="n">
        <f aca="false">3.56*1.25</f>
        <v>4.45</v>
      </c>
      <c r="F50" s="11" t="n">
        <f aca="false">11.76*1.25</f>
        <v>14.7</v>
      </c>
      <c r="G50" s="11" t="n">
        <f aca="false">93*1.25</f>
        <v>116.25</v>
      </c>
    </row>
    <row r="51" customFormat="false" ht="12.75" hidden="false" customHeight="false" outlineLevel="0" collapsed="false">
      <c r="A51" s="9" t="s">
        <v>96</v>
      </c>
      <c r="B51" s="10" t="s">
        <v>97</v>
      </c>
      <c r="C51" s="9" t="n">
        <v>100</v>
      </c>
      <c r="D51" s="11" t="n">
        <f aca="false">11.84*1.11</f>
        <v>13.1424</v>
      </c>
      <c r="E51" s="11" t="n">
        <f aca="false">10.06*1.11</f>
        <v>11.1666</v>
      </c>
      <c r="F51" s="11" t="n">
        <f aca="false">16.03*1.11</f>
        <v>17.7933</v>
      </c>
      <c r="G51" s="11" t="n">
        <f aca="false">208*1.11</f>
        <v>230.88</v>
      </c>
    </row>
    <row r="52" customFormat="false" ht="12.75" hidden="false" customHeight="false" outlineLevel="0" collapsed="false">
      <c r="A52" s="9" t="s">
        <v>98</v>
      </c>
      <c r="B52" s="10" t="s">
        <v>99</v>
      </c>
      <c r="C52" s="9" t="n">
        <v>180</v>
      </c>
      <c r="D52" s="11" t="n">
        <f aca="false">8.77*1.2</f>
        <v>10.524</v>
      </c>
      <c r="E52" s="11" t="n">
        <f aca="false">5.19*1.2</f>
        <v>6.228</v>
      </c>
      <c r="F52" s="11" t="n">
        <f aca="false">39.6*1.23</f>
        <v>48.708</v>
      </c>
      <c r="G52" s="11" t="n">
        <v>304</v>
      </c>
    </row>
    <row r="53" customFormat="false" ht="12.75" hidden="false" customHeight="false" outlineLevel="0" collapsed="false">
      <c r="A53" s="9" t="s">
        <v>35</v>
      </c>
      <c r="B53" s="10" t="s">
        <v>36</v>
      </c>
      <c r="C53" s="9" t="n">
        <v>200</v>
      </c>
      <c r="D53" s="11" t="n">
        <v>0</v>
      </c>
      <c r="E53" s="11" t="n">
        <v>0</v>
      </c>
      <c r="F53" s="11" t="n">
        <v>10</v>
      </c>
      <c r="G53" s="11" t="n">
        <v>42</v>
      </c>
    </row>
    <row r="54" customFormat="false" ht="12.75" hidden="false" customHeight="false" outlineLevel="0" collapsed="false">
      <c r="A54" s="9"/>
      <c r="B54" s="10" t="s">
        <v>100</v>
      </c>
      <c r="C54" s="9" t="n">
        <v>20</v>
      </c>
      <c r="D54" s="11" t="n">
        <v>1</v>
      </c>
      <c r="E54" s="11" t="n">
        <v>0.08</v>
      </c>
      <c r="F54" s="11" t="n">
        <v>8</v>
      </c>
      <c r="G54" s="11" t="n">
        <v>38.52</v>
      </c>
    </row>
    <row r="55" customFormat="false" ht="12.75" hidden="false" customHeight="true" outlineLevel="0" collapsed="false">
      <c r="A55" s="13" t="s">
        <v>29</v>
      </c>
      <c r="B55" s="13"/>
      <c r="C55" s="6" t="n">
        <f aca="false">SUM(C49:C54)</f>
        <v>860</v>
      </c>
      <c r="D55" s="11"/>
      <c r="E55" s="11"/>
      <c r="F55" s="11"/>
      <c r="G55" s="11"/>
    </row>
    <row r="56" customFormat="false" ht="27.95" hidden="false" customHeight="true" outlineLevel="0" collapsed="false">
      <c r="A56" s="6" t="s">
        <v>44</v>
      </c>
      <c r="B56" s="6"/>
      <c r="C56" s="6"/>
      <c r="D56" s="8" t="n">
        <f aca="false">D57+D63</f>
        <v>48.2785</v>
      </c>
      <c r="E56" s="8" t="n">
        <f aca="false">E57+E63</f>
        <v>46.4662</v>
      </c>
      <c r="F56" s="8" t="n">
        <f aca="false">F57+F63</f>
        <v>210.6238</v>
      </c>
      <c r="G56" s="8" t="n">
        <f aca="false">G57+G63</f>
        <v>1506.961</v>
      </c>
    </row>
    <row r="57" customFormat="false" ht="12.75" hidden="false" customHeight="false" outlineLevel="0" collapsed="false">
      <c r="A57" s="6"/>
      <c r="B57" s="7" t="s">
        <v>18</v>
      </c>
      <c r="C57" s="6"/>
      <c r="D57" s="8" t="n">
        <f aca="false">D58+D59+D60+D61</f>
        <v>17.785</v>
      </c>
      <c r="E57" s="8" t="n">
        <f aca="false">E58+E59+E60+E61</f>
        <v>9.5025</v>
      </c>
      <c r="F57" s="8" t="n">
        <f aca="false">F58+F59+F60+F61</f>
        <v>116.04</v>
      </c>
      <c r="G57" s="8" t="n">
        <f aca="false">G58+G59+G60+G61</f>
        <v>647.635</v>
      </c>
    </row>
    <row r="58" customFormat="false" ht="12.75" hidden="false" customHeight="false" outlineLevel="0" collapsed="false">
      <c r="A58" s="9" t="s">
        <v>138</v>
      </c>
      <c r="B58" s="10" t="s">
        <v>139</v>
      </c>
      <c r="C58" s="9" t="n">
        <v>60</v>
      </c>
      <c r="D58" s="11" t="n">
        <v>4.91</v>
      </c>
      <c r="E58" s="11" t="n">
        <v>3.79</v>
      </c>
      <c r="F58" s="11" t="n">
        <v>36.09</v>
      </c>
      <c r="G58" s="11" t="n">
        <v>206.31</v>
      </c>
    </row>
    <row r="59" customFormat="false" ht="25.5" hidden="false" customHeight="false" outlineLevel="0" collapsed="false">
      <c r="A59" s="9" t="s">
        <v>23</v>
      </c>
      <c r="B59" s="10" t="s">
        <v>140</v>
      </c>
      <c r="C59" s="9" t="n">
        <v>253</v>
      </c>
      <c r="D59" s="11" t="n">
        <f aca="false">7.26*1.25</f>
        <v>9.075</v>
      </c>
      <c r="E59" s="11" t="n">
        <f aca="false">4.25*1.25</f>
        <v>5.3125</v>
      </c>
      <c r="F59" s="11" t="n">
        <f aca="false">36.28*1.25</f>
        <v>45.35</v>
      </c>
      <c r="G59" s="11" t="n">
        <v>276.4</v>
      </c>
    </row>
    <row r="60" customFormat="false" ht="12.75" hidden="false" customHeight="false" outlineLevel="0" collapsed="false">
      <c r="A60" s="9" t="s">
        <v>35</v>
      </c>
      <c r="B60" s="10" t="s">
        <v>36</v>
      </c>
      <c r="C60" s="9" t="n">
        <v>200</v>
      </c>
      <c r="D60" s="11" t="n">
        <v>0</v>
      </c>
      <c r="E60" s="11" t="n">
        <v>0</v>
      </c>
      <c r="F60" s="11" t="n">
        <v>10</v>
      </c>
      <c r="G60" s="11" t="n">
        <v>42</v>
      </c>
    </row>
    <row r="61" customFormat="false" ht="15" hidden="false" customHeight="true" outlineLevel="0" collapsed="false">
      <c r="A61" s="9"/>
      <c r="B61" s="10" t="s">
        <v>28</v>
      </c>
      <c r="C61" s="9" t="n">
        <v>50</v>
      </c>
      <c r="D61" s="11" t="n">
        <f aca="false">3.04*1.25</f>
        <v>3.8</v>
      </c>
      <c r="E61" s="11" t="n">
        <f aca="false">0.32*1.25</f>
        <v>0.4</v>
      </c>
      <c r="F61" s="11" t="n">
        <f aca="false">19.68*1.25</f>
        <v>24.6</v>
      </c>
      <c r="G61" s="11" t="n">
        <f aca="false">98.34*1.25</f>
        <v>122.925</v>
      </c>
    </row>
    <row r="62" customFormat="false" ht="15" hidden="false" customHeight="true" outlineLevel="0" collapsed="false">
      <c r="A62" s="13" t="s">
        <v>29</v>
      </c>
      <c r="B62" s="13"/>
      <c r="C62" s="6" t="n">
        <f aca="false">SUM(C58:C61)</f>
        <v>563</v>
      </c>
      <c r="D62" s="11"/>
      <c r="E62" s="11"/>
      <c r="F62" s="11"/>
      <c r="G62" s="11"/>
    </row>
    <row r="63" customFormat="false" ht="15" hidden="false" customHeight="true" outlineLevel="0" collapsed="false">
      <c r="A63" s="9"/>
      <c r="B63" s="7" t="s">
        <v>81</v>
      </c>
      <c r="C63" s="6"/>
      <c r="D63" s="8" t="n">
        <f aca="false">D64+D65+D66+D67+D68</f>
        <v>30.4935</v>
      </c>
      <c r="E63" s="8" t="n">
        <f aca="false">E64+E65+E66+E67+E68</f>
        <v>36.9637</v>
      </c>
      <c r="F63" s="8" t="n">
        <f aca="false">F64+F65+F66+F67+F68</f>
        <v>94.5838</v>
      </c>
      <c r="G63" s="8" t="n">
        <f aca="false">G64+G65+G66+G67+G68</f>
        <v>859.326</v>
      </c>
    </row>
    <row r="64" customFormat="false" ht="15" hidden="false" customHeight="true" outlineLevel="0" collapsed="false">
      <c r="A64" s="9" t="s">
        <v>101</v>
      </c>
      <c r="B64" s="10" t="s">
        <v>102</v>
      </c>
      <c r="C64" s="9" t="n">
        <v>100</v>
      </c>
      <c r="D64" s="11" t="n">
        <f aca="false">0.8*1.67</f>
        <v>1.336</v>
      </c>
      <c r="E64" s="11" t="n">
        <f aca="false">3.11*1.67</f>
        <v>5.1937</v>
      </c>
      <c r="F64" s="11" t="n">
        <f aca="false">5.64*1.67</f>
        <v>9.4188</v>
      </c>
      <c r="G64" s="11" t="n">
        <f aca="false">55.8*1.67</f>
        <v>93.186</v>
      </c>
    </row>
    <row r="65" customFormat="false" ht="30" hidden="false" customHeight="true" outlineLevel="0" collapsed="false">
      <c r="A65" s="9" t="s">
        <v>103</v>
      </c>
      <c r="B65" s="10" t="s">
        <v>104</v>
      </c>
      <c r="C65" s="9" t="n">
        <v>260</v>
      </c>
      <c r="D65" s="11" t="n">
        <f aca="false">6.51*1.25</f>
        <v>8.1375</v>
      </c>
      <c r="E65" s="11" t="n">
        <f aca="false">12.28*1.25</f>
        <v>15.35</v>
      </c>
      <c r="F65" s="11" t="n">
        <f aca="false">18.94*1.25</f>
        <v>23.675</v>
      </c>
      <c r="G65" s="11" t="n">
        <v>271.76</v>
      </c>
    </row>
    <row r="66" customFormat="false" ht="15" hidden="false" customHeight="true" outlineLevel="0" collapsed="false">
      <c r="A66" s="9" t="s">
        <v>105</v>
      </c>
      <c r="B66" s="10" t="s">
        <v>106</v>
      </c>
      <c r="C66" s="9" t="n">
        <v>260</v>
      </c>
      <c r="D66" s="11" t="n">
        <v>18.35</v>
      </c>
      <c r="E66" s="11" t="n">
        <v>16.26</v>
      </c>
      <c r="F66" s="11" t="n">
        <v>39.62</v>
      </c>
      <c r="G66" s="11" t="n">
        <v>389.81</v>
      </c>
    </row>
    <row r="67" customFormat="false" ht="14.25" hidden="false" customHeight="true" outlineLevel="0" collapsed="false">
      <c r="A67" s="9" t="s">
        <v>42</v>
      </c>
      <c r="B67" s="10" t="s">
        <v>70</v>
      </c>
      <c r="C67" s="9" t="n">
        <v>200</v>
      </c>
      <c r="D67" s="11" t="n">
        <v>1.15</v>
      </c>
      <c r="E67" s="11"/>
      <c r="F67" s="11" t="n">
        <v>12.03</v>
      </c>
      <c r="G67" s="11" t="n">
        <v>55.4</v>
      </c>
    </row>
    <row r="68" customFormat="false" ht="15" hidden="false" customHeight="true" outlineLevel="0" collapsed="false">
      <c r="A68" s="9"/>
      <c r="B68" s="10" t="s">
        <v>28</v>
      </c>
      <c r="C68" s="9" t="n">
        <v>20</v>
      </c>
      <c r="D68" s="11" t="n">
        <v>1.52</v>
      </c>
      <c r="E68" s="11" t="n">
        <v>0.16</v>
      </c>
      <c r="F68" s="11" t="n">
        <v>9.84</v>
      </c>
      <c r="G68" s="11" t="n">
        <v>49.17</v>
      </c>
    </row>
    <row r="69" customFormat="false" ht="15" hidden="false" customHeight="true" outlineLevel="0" collapsed="false">
      <c r="A69" s="13" t="s">
        <v>29</v>
      </c>
      <c r="B69" s="13"/>
      <c r="C69" s="6" t="n">
        <f aca="false">SUM(C64:C68)</f>
        <v>840</v>
      </c>
      <c r="D69" s="11"/>
      <c r="E69" s="11"/>
      <c r="F69" s="11"/>
      <c r="G69" s="11"/>
    </row>
    <row r="70" customFormat="false" ht="27.95" hidden="false" customHeight="true" outlineLevel="0" collapsed="false">
      <c r="A70" s="6" t="s">
        <v>48</v>
      </c>
      <c r="B70" s="6"/>
      <c r="C70" s="6"/>
      <c r="D70" s="8" t="n">
        <f aca="false">D71+D77</f>
        <v>48.7329</v>
      </c>
      <c r="E70" s="8" t="n">
        <f aca="false">E71+E77</f>
        <v>36.9187</v>
      </c>
      <c r="F70" s="8" t="n">
        <f aca="false">F71+F77</f>
        <v>233.0454</v>
      </c>
      <c r="G70" s="8" t="n">
        <f aca="false">G71+G77</f>
        <v>1516.1557</v>
      </c>
    </row>
    <row r="71" customFormat="false" ht="12.75" hidden="false" customHeight="false" outlineLevel="0" collapsed="false">
      <c r="A71" s="6"/>
      <c r="B71" s="7" t="s">
        <v>18</v>
      </c>
      <c r="C71" s="6"/>
      <c r="D71" s="8" t="n">
        <f aca="false">D72+D73+D74+D75</f>
        <v>16.4</v>
      </c>
      <c r="E71" s="8" t="n">
        <f aca="false">E72+E73+E74+E75</f>
        <v>9.7</v>
      </c>
      <c r="F71" s="8" t="n">
        <f aca="false">F72+F73+F74+F75</f>
        <v>98.97</v>
      </c>
      <c r="G71" s="8" t="n">
        <f aca="false">G72+G73+G74+G75</f>
        <v>571.91</v>
      </c>
    </row>
    <row r="72" customFormat="false" ht="12.75" hidden="false" customHeight="false" outlineLevel="0" collapsed="false">
      <c r="A72" s="9"/>
      <c r="B72" s="10" t="s">
        <v>45</v>
      </c>
      <c r="C72" s="9" t="n">
        <v>100</v>
      </c>
      <c r="D72" s="11" t="n">
        <v>0.4</v>
      </c>
      <c r="E72" s="11" t="n">
        <v>0</v>
      </c>
      <c r="F72" s="11" t="n">
        <v>9.8</v>
      </c>
      <c r="G72" s="11" t="n">
        <v>42.84</v>
      </c>
    </row>
    <row r="73" customFormat="false" ht="12.75" hidden="false" customHeight="false" outlineLevel="0" collapsed="false">
      <c r="A73" s="9" t="s">
        <v>141</v>
      </c>
      <c r="B73" s="10" t="s">
        <v>142</v>
      </c>
      <c r="C73" s="9" t="n">
        <v>203</v>
      </c>
      <c r="D73" s="11" t="n">
        <v>11.44</v>
      </c>
      <c r="E73" s="11" t="n">
        <v>9.22</v>
      </c>
      <c r="F73" s="11" t="n">
        <v>49.65</v>
      </c>
      <c r="G73" s="11" t="n">
        <v>339.56</v>
      </c>
    </row>
    <row r="74" customFormat="false" ht="12.75" hidden="false" customHeight="false" outlineLevel="0" collapsed="false">
      <c r="A74" s="12" t="s">
        <v>35</v>
      </c>
      <c r="B74" s="10" t="s">
        <v>36</v>
      </c>
      <c r="C74" s="12" t="n">
        <v>200</v>
      </c>
      <c r="D74" s="11" t="n">
        <v>0</v>
      </c>
      <c r="E74" s="11" t="n">
        <v>0</v>
      </c>
      <c r="F74" s="11" t="n">
        <v>10</v>
      </c>
      <c r="G74" s="11" t="n">
        <v>42</v>
      </c>
    </row>
    <row r="75" customFormat="false" ht="13.5" hidden="false" customHeight="true" outlineLevel="0" collapsed="false">
      <c r="A75" s="9"/>
      <c r="B75" s="10" t="s">
        <v>28</v>
      </c>
      <c r="C75" s="9" t="n">
        <v>60</v>
      </c>
      <c r="D75" s="11" t="n">
        <f aca="false">3.04*1.5</f>
        <v>4.56</v>
      </c>
      <c r="E75" s="11" t="n">
        <f aca="false">0.32*1.5</f>
        <v>0.48</v>
      </c>
      <c r="F75" s="11" t="n">
        <f aca="false">19.68*1.5</f>
        <v>29.52</v>
      </c>
      <c r="G75" s="11" t="n">
        <f aca="false">98.34*1.5</f>
        <v>147.51</v>
      </c>
    </row>
    <row r="76" customFormat="false" ht="12.75" hidden="false" customHeight="true" outlineLevel="0" collapsed="false">
      <c r="A76" s="13" t="s">
        <v>29</v>
      </c>
      <c r="B76" s="13"/>
      <c r="C76" s="6" t="n">
        <f aca="false">SUM(C72:C75)</f>
        <v>563</v>
      </c>
      <c r="D76" s="11"/>
      <c r="E76" s="11"/>
      <c r="F76" s="11"/>
      <c r="G76" s="11"/>
    </row>
    <row r="77" customFormat="false" ht="12.75" hidden="false" customHeight="false" outlineLevel="0" collapsed="false">
      <c r="A77" s="9"/>
      <c r="B77" s="7" t="s">
        <v>81</v>
      </c>
      <c r="C77" s="6"/>
      <c r="D77" s="8" t="n">
        <f aca="false">D78+D79+D80+D81+D82+D83</f>
        <v>32.3329</v>
      </c>
      <c r="E77" s="8" t="n">
        <f aca="false">E78+E79+E80+E81+E82+E83</f>
        <v>27.2187</v>
      </c>
      <c r="F77" s="8" t="n">
        <f aca="false">F78+F79+F80+F81+F82+F83</f>
        <v>134.0754</v>
      </c>
      <c r="G77" s="8" t="n">
        <f aca="false">G78+G79+G80+G81+G82+G83</f>
        <v>944.2457</v>
      </c>
    </row>
    <row r="78" customFormat="false" ht="18.75" hidden="false" customHeight="true" outlineLevel="0" collapsed="false">
      <c r="A78" s="12" t="s">
        <v>107</v>
      </c>
      <c r="B78" s="10" t="s">
        <v>108</v>
      </c>
      <c r="C78" s="9" t="n">
        <v>100</v>
      </c>
      <c r="D78" s="11" t="n">
        <f aca="false">0.74*1.66</f>
        <v>1.2284</v>
      </c>
      <c r="E78" s="11" t="n">
        <f aca="false">0.06*1.67</f>
        <v>0.1002</v>
      </c>
      <c r="F78" s="11" t="n">
        <f aca="false">16.92*1.67</f>
        <v>28.2564</v>
      </c>
      <c r="G78" s="11" t="n">
        <f aca="false">74.71*1.67</f>
        <v>124.7657</v>
      </c>
    </row>
    <row r="79" customFormat="false" ht="12.75" hidden="false" customHeight="false" outlineLevel="0" collapsed="false">
      <c r="A79" s="9" t="s">
        <v>84</v>
      </c>
      <c r="B79" s="10" t="s">
        <v>85</v>
      </c>
      <c r="C79" s="9" t="n">
        <v>255</v>
      </c>
      <c r="D79" s="11" t="n">
        <f aca="false">3.09*1.25</f>
        <v>3.8625</v>
      </c>
      <c r="E79" s="11" t="n">
        <f aca="false">4.61*1.25</f>
        <v>5.7625</v>
      </c>
      <c r="F79" s="11" t="n">
        <f aca="false">12.54*1.25</f>
        <v>15.675</v>
      </c>
      <c r="G79" s="11" t="n">
        <f aca="false">107.36*1.25</f>
        <v>134.2</v>
      </c>
    </row>
    <row r="80" customFormat="false" ht="12.75" hidden="false" customHeight="false" outlineLevel="0" collapsed="false">
      <c r="A80" s="9" t="s">
        <v>109</v>
      </c>
      <c r="B80" s="10" t="s">
        <v>110</v>
      </c>
      <c r="C80" s="9" t="n">
        <v>110</v>
      </c>
      <c r="D80" s="11" t="n">
        <v>5.73</v>
      </c>
      <c r="E80" s="11" t="n">
        <v>16.34</v>
      </c>
      <c r="F80" s="11" t="n">
        <v>10.38</v>
      </c>
      <c r="G80" s="11" t="n">
        <v>215</v>
      </c>
    </row>
    <row r="81" customFormat="false" ht="12.75" hidden="false" customHeight="false" outlineLevel="0" collapsed="false">
      <c r="A81" s="9" t="s">
        <v>111</v>
      </c>
      <c r="B81" s="10" t="s">
        <v>112</v>
      </c>
      <c r="C81" s="9" t="n">
        <v>180</v>
      </c>
      <c r="D81" s="11" t="n">
        <f aca="false">16.26*1.2</f>
        <v>19.512</v>
      </c>
      <c r="E81" s="11" t="n">
        <f aca="false">4.03*1.2</f>
        <v>4.836</v>
      </c>
      <c r="F81" s="11" t="n">
        <f aca="false">33.97*1.2</f>
        <v>40.764</v>
      </c>
      <c r="G81" s="11" t="n">
        <f aca="false">247.3*1.2</f>
        <v>296.76</v>
      </c>
    </row>
    <row r="82" customFormat="false" ht="29.25" hidden="false" customHeight="true" outlineLevel="0" collapsed="false">
      <c r="A82" s="9" t="s">
        <v>42</v>
      </c>
      <c r="B82" s="10" t="s">
        <v>43</v>
      </c>
      <c r="C82" s="9" t="n">
        <v>200</v>
      </c>
      <c r="D82" s="11" t="n">
        <v>1</v>
      </c>
      <c r="E82" s="11" t="n">
        <v>0.1</v>
      </c>
      <c r="F82" s="11" t="n">
        <v>31</v>
      </c>
      <c r="G82" s="11" t="n">
        <v>135</v>
      </c>
    </row>
    <row r="83" customFormat="false" ht="12.75" hidden="false" customHeight="false" outlineLevel="0" collapsed="false">
      <c r="A83" s="9"/>
      <c r="B83" s="10" t="s">
        <v>100</v>
      </c>
      <c r="C83" s="9" t="n">
        <v>20</v>
      </c>
      <c r="D83" s="11" t="n">
        <v>1</v>
      </c>
      <c r="E83" s="11" t="n">
        <v>0.08</v>
      </c>
      <c r="F83" s="11" t="n">
        <v>8</v>
      </c>
      <c r="G83" s="11" t="n">
        <v>38.52</v>
      </c>
    </row>
    <row r="84" customFormat="false" ht="12.75" hidden="false" customHeight="true" outlineLevel="0" collapsed="false">
      <c r="A84" s="13" t="s">
        <v>29</v>
      </c>
      <c r="B84" s="13"/>
      <c r="C84" s="6" t="n">
        <f aca="false">SUM(C78:C83)</f>
        <v>865</v>
      </c>
      <c r="D84" s="11"/>
      <c r="E84" s="11"/>
      <c r="F84" s="11"/>
      <c r="G84" s="11"/>
    </row>
    <row r="85" customFormat="false" ht="27.95" hidden="false" customHeight="true" outlineLevel="0" collapsed="false">
      <c r="A85" s="6" t="s">
        <v>53</v>
      </c>
      <c r="B85" s="6"/>
      <c r="C85" s="6"/>
      <c r="D85" s="8" t="n">
        <f aca="false">D86+D92</f>
        <v>43.7907</v>
      </c>
      <c r="E85" s="8" t="n">
        <f aca="false">E86+E92</f>
        <v>59.629</v>
      </c>
      <c r="F85" s="8" t="n">
        <f aca="false">F86+F92</f>
        <v>203.1711</v>
      </c>
      <c r="G85" s="8" t="n">
        <f aca="false">G86+G92</f>
        <v>1575.41974</v>
      </c>
    </row>
    <row r="86" customFormat="false" ht="12.75" hidden="false" customHeight="false" outlineLevel="0" collapsed="false">
      <c r="A86" s="6"/>
      <c r="B86" s="7" t="s">
        <v>18</v>
      </c>
      <c r="C86" s="6"/>
      <c r="D86" s="8" t="n">
        <f aca="false">D87+D88+D89+D90</f>
        <v>13.16</v>
      </c>
      <c r="E86" s="8" t="n">
        <f aca="false">E87+E88+E89+E90</f>
        <v>10.68</v>
      </c>
      <c r="F86" s="8" t="n">
        <f aca="false">F87+F88+F89+F90</f>
        <v>99.34</v>
      </c>
      <c r="G86" s="8" t="n">
        <f aca="false">G87+G88+G89+G90</f>
        <v>568.67</v>
      </c>
      <c r="H86" s="3" t="e">
        <f aca="false">#REF!/9</f>
        <v>#REF!</v>
      </c>
    </row>
    <row r="87" customFormat="false" ht="12.75" hidden="false" customHeight="false" outlineLevel="0" collapsed="false">
      <c r="A87" s="9"/>
      <c r="B87" s="10" t="s">
        <v>45</v>
      </c>
      <c r="C87" s="9" t="n">
        <v>100</v>
      </c>
      <c r="D87" s="11" t="n">
        <v>0.4</v>
      </c>
      <c r="E87" s="11" t="n">
        <v>0</v>
      </c>
      <c r="F87" s="11" t="n">
        <v>9.8</v>
      </c>
      <c r="G87" s="11" t="n">
        <v>42.84</v>
      </c>
    </row>
    <row r="88" customFormat="false" ht="24.75" hidden="false" customHeight="true" outlineLevel="0" collapsed="false">
      <c r="A88" s="9" t="s">
        <v>23</v>
      </c>
      <c r="B88" s="10" t="s">
        <v>54</v>
      </c>
      <c r="C88" s="9" t="n">
        <v>203</v>
      </c>
      <c r="D88" s="11" t="n">
        <v>8.2</v>
      </c>
      <c r="E88" s="11" t="n">
        <v>10.2</v>
      </c>
      <c r="F88" s="11" t="n">
        <v>50.02</v>
      </c>
      <c r="G88" s="11" t="n">
        <v>336.32</v>
      </c>
      <c r="H88" s="14"/>
      <c r="I88" s="14"/>
      <c r="J88" s="14"/>
      <c r="K88" s="14"/>
      <c r="L88" s="14"/>
      <c r="M88" s="14"/>
      <c r="N88" s="15"/>
      <c r="O88" s="14"/>
      <c r="P88" s="14"/>
      <c r="Q88" s="14"/>
      <c r="R88" s="14"/>
      <c r="S88" s="14"/>
    </row>
    <row r="89" customFormat="false" ht="12" hidden="false" customHeight="true" outlineLevel="0" collapsed="false">
      <c r="A89" s="9" t="s">
        <v>35</v>
      </c>
      <c r="B89" s="10" t="s">
        <v>36</v>
      </c>
      <c r="C89" s="9" t="n">
        <v>200</v>
      </c>
      <c r="D89" s="11" t="n">
        <v>0</v>
      </c>
      <c r="E89" s="11" t="n">
        <v>0</v>
      </c>
      <c r="F89" s="11" t="n">
        <v>10</v>
      </c>
      <c r="G89" s="11" t="n">
        <v>42</v>
      </c>
      <c r="H89" s="14"/>
      <c r="I89" s="14"/>
      <c r="J89" s="14"/>
      <c r="K89" s="14"/>
      <c r="L89" s="14"/>
      <c r="M89" s="14"/>
      <c r="N89" s="15"/>
      <c r="O89" s="14"/>
      <c r="P89" s="14"/>
      <c r="Q89" s="14"/>
      <c r="R89" s="14"/>
      <c r="S89" s="14"/>
    </row>
    <row r="90" customFormat="false" ht="12.75" hidden="false" customHeight="false" outlineLevel="0" collapsed="false">
      <c r="A90" s="12"/>
      <c r="B90" s="10" t="s">
        <v>28</v>
      </c>
      <c r="C90" s="9" t="n">
        <v>60</v>
      </c>
      <c r="D90" s="11" t="n">
        <f aca="false">3.04*1.5</f>
        <v>4.56</v>
      </c>
      <c r="E90" s="11" t="n">
        <f aca="false">0.32*1.5</f>
        <v>0.48</v>
      </c>
      <c r="F90" s="11" t="n">
        <f aca="false">19.68*1.5</f>
        <v>29.52</v>
      </c>
      <c r="G90" s="11" t="n">
        <f aca="false">98.34*1.5</f>
        <v>147.51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customFormat="false" ht="12.75" hidden="false" customHeight="true" outlineLevel="0" collapsed="false">
      <c r="A91" s="13" t="s">
        <v>29</v>
      </c>
      <c r="B91" s="13"/>
      <c r="C91" s="6" t="n">
        <f aca="false">SUM(C87:C90)</f>
        <v>563</v>
      </c>
      <c r="D91" s="11"/>
      <c r="E91" s="11"/>
      <c r="F91" s="11"/>
      <c r="G91" s="11"/>
    </row>
    <row r="92" customFormat="false" ht="12.75" hidden="false" customHeight="false" outlineLevel="0" collapsed="false">
      <c r="A92" s="9"/>
      <c r="B92" s="7" t="s">
        <v>81</v>
      </c>
      <c r="C92" s="6"/>
      <c r="D92" s="8" t="n">
        <f aca="false">D93+D94+D95+D96+D97</f>
        <v>30.6307</v>
      </c>
      <c r="E92" s="8" t="n">
        <f aca="false">E93+E94+E95+E96+E97</f>
        <v>48.949</v>
      </c>
      <c r="F92" s="8" t="n">
        <f aca="false">F93+F94+F95+F96+F97</f>
        <v>103.8311</v>
      </c>
      <c r="G92" s="8" t="n">
        <f aca="false">G93+G94+G95+G96+G97</f>
        <v>1006.74974</v>
      </c>
      <c r="H92" s="3" t="e">
        <f aca="false">#REF!/9</f>
        <v>#REF!</v>
      </c>
    </row>
    <row r="93" customFormat="false" ht="16.5" hidden="false" customHeight="true" outlineLevel="0" collapsed="false">
      <c r="A93" s="9" t="s">
        <v>92</v>
      </c>
      <c r="B93" s="10" t="s">
        <v>93</v>
      </c>
      <c r="C93" s="9" t="n">
        <v>100</v>
      </c>
      <c r="D93" s="11" t="n">
        <f aca="false">1.21*1.67</f>
        <v>2.0207</v>
      </c>
      <c r="E93" s="11" t="n">
        <f aca="false">6.2*1.67</f>
        <v>10.354</v>
      </c>
      <c r="F93" s="11" t="n">
        <f aca="false">12.33*1.67</f>
        <v>20.5911</v>
      </c>
      <c r="G93" s="11" t="n">
        <f aca="false">113*1.67</f>
        <v>188.71</v>
      </c>
      <c r="I93" s="37"/>
      <c r="J93" s="2"/>
      <c r="K93" s="1"/>
      <c r="L93" s="1"/>
      <c r="M93" s="1"/>
      <c r="N93" s="1"/>
      <c r="O93" s="1"/>
      <c r="P93" s="14"/>
      <c r="Q93" s="14"/>
      <c r="R93" s="14"/>
      <c r="S93" s="14"/>
      <c r="T93" s="14"/>
      <c r="U93" s="14"/>
      <c r="V93" s="14"/>
    </row>
    <row r="94" customFormat="false" ht="28.5" hidden="false" customHeight="true" outlineLevel="0" collapsed="false">
      <c r="A94" s="9" t="s">
        <v>113</v>
      </c>
      <c r="B94" s="10" t="s">
        <v>114</v>
      </c>
      <c r="C94" s="9" t="n">
        <v>255</v>
      </c>
      <c r="D94" s="11" t="n">
        <f aca="false">3.96*1.25</f>
        <v>4.95</v>
      </c>
      <c r="E94" s="11" t="n">
        <f aca="false">4.86*1.25</f>
        <v>6.075</v>
      </c>
      <c r="F94" s="11" t="n">
        <f aca="false">17.01*1.25</f>
        <v>21.2625</v>
      </c>
      <c r="G94" s="11" t="n">
        <f aca="false">131.81*1.254</f>
        <v>165.28974</v>
      </c>
      <c r="I94" s="38"/>
      <c r="J94" s="31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4"/>
    </row>
    <row r="95" customFormat="false" ht="12.75" hidden="false" customHeight="false" outlineLevel="0" collapsed="false">
      <c r="A95" s="9" t="s">
        <v>115</v>
      </c>
      <c r="B95" s="10" t="s">
        <v>116</v>
      </c>
      <c r="C95" s="9" t="n">
        <v>250</v>
      </c>
      <c r="D95" s="11" t="n">
        <f aca="false">16.48*1.25</f>
        <v>20.6</v>
      </c>
      <c r="E95" s="11" t="n">
        <f aca="false">25.76*1.25</f>
        <v>32.2</v>
      </c>
      <c r="F95" s="11" t="n">
        <f aca="false">10.39*1.25</f>
        <v>12.9875</v>
      </c>
      <c r="G95" s="11" t="n">
        <f aca="false">345*1.25</f>
        <v>431.25</v>
      </c>
    </row>
    <row r="96" customFormat="false" ht="25.5" hidden="false" customHeight="false" outlineLevel="0" collapsed="false">
      <c r="A96" s="9" t="s">
        <v>117</v>
      </c>
      <c r="B96" s="10" t="s">
        <v>118</v>
      </c>
      <c r="C96" s="9" t="n">
        <v>200</v>
      </c>
      <c r="D96" s="11" t="n">
        <v>0.02</v>
      </c>
      <c r="E96" s="11"/>
      <c r="F96" s="11" t="n">
        <v>29.31</v>
      </c>
      <c r="G96" s="11" t="n">
        <v>123.16</v>
      </c>
      <c r="H96" s="2"/>
      <c r="I96" s="1"/>
      <c r="J96" s="1"/>
      <c r="K96" s="1"/>
      <c r="L96" s="1"/>
      <c r="M96" s="1"/>
      <c r="N96" s="1"/>
      <c r="O96" s="16"/>
      <c r="P96" s="1"/>
      <c r="Q96" s="1"/>
      <c r="R96" s="1"/>
      <c r="S96" s="1"/>
      <c r="T96" s="1"/>
    </row>
    <row r="97" customFormat="false" ht="12.75" hidden="false" customHeight="false" outlineLevel="0" collapsed="false">
      <c r="A97" s="9"/>
      <c r="B97" s="10" t="s">
        <v>28</v>
      </c>
      <c r="C97" s="9" t="n">
        <v>40</v>
      </c>
      <c r="D97" s="11" t="n">
        <v>3.04</v>
      </c>
      <c r="E97" s="11" t="n">
        <v>0.32</v>
      </c>
      <c r="F97" s="11" t="n">
        <v>19.68</v>
      </c>
      <c r="G97" s="11" t="n">
        <v>98.34</v>
      </c>
    </row>
    <row r="98" customFormat="false" ht="12.75" hidden="false" customHeight="true" outlineLevel="0" collapsed="false">
      <c r="A98" s="13" t="s">
        <v>29</v>
      </c>
      <c r="B98" s="13"/>
      <c r="C98" s="6" t="n">
        <f aca="false">SUM(C93:C97)</f>
        <v>845</v>
      </c>
      <c r="D98" s="11"/>
      <c r="E98" s="11"/>
      <c r="F98" s="11"/>
      <c r="G98" s="11"/>
    </row>
    <row r="99" customFormat="false" ht="27.95" hidden="false" customHeight="true" outlineLevel="0" collapsed="false">
      <c r="A99" s="7" t="s">
        <v>55</v>
      </c>
      <c r="B99" s="7"/>
      <c r="C99" s="7"/>
      <c r="D99" s="8" t="n">
        <f aca="false">D100+D106</f>
        <v>41.8988</v>
      </c>
      <c r="E99" s="8" t="n">
        <f aca="false">E100+E106</f>
        <v>50.0029</v>
      </c>
      <c r="F99" s="8" t="n">
        <f aca="false">F100+F106</f>
        <v>235.2231</v>
      </c>
      <c r="G99" s="8" t="n">
        <f aca="false">G100+G106</f>
        <v>1639.771</v>
      </c>
    </row>
    <row r="100" customFormat="false" ht="12.75" hidden="false" customHeight="false" outlineLevel="0" collapsed="false">
      <c r="A100" s="6"/>
      <c r="B100" s="7" t="s">
        <v>18</v>
      </c>
      <c r="C100" s="6"/>
      <c r="D100" s="8" t="n">
        <f aca="false">D101+D102+D103+D104</f>
        <v>19.9297</v>
      </c>
      <c r="E100" s="8" t="n">
        <f aca="false">E101+E102+E103+E104</f>
        <v>11.4693</v>
      </c>
      <c r="F100" s="8" t="n">
        <f aca="false">F101+F102+F103+F104</f>
        <v>145.9303</v>
      </c>
      <c r="G100" s="8" t="n">
        <f aca="false">G101+G102+G103+G104</f>
        <v>800.616</v>
      </c>
    </row>
    <row r="101" customFormat="false" ht="26.25" hidden="false" customHeight="true" outlineLevel="0" collapsed="false">
      <c r="A101" s="9" t="s">
        <v>23</v>
      </c>
      <c r="B101" s="10" t="s">
        <v>143</v>
      </c>
      <c r="C101" s="9" t="n">
        <v>203</v>
      </c>
      <c r="D101" s="11" t="n">
        <v>7.16</v>
      </c>
      <c r="E101" s="11" t="n">
        <v>4.66</v>
      </c>
      <c r="F101" s="11" t="n">
        <v>40.52</v>
      </c>
      <c r="G101" s="11" t="n">
        <v>242.96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customFormat="false" ht="13.5" hidden="false" customHeight="true" outlineLevel="0" collapsed="false">
      <c r="A102" s="9" t="s">
        <v>138</v>
      </c>
      <c r="B102" s="10" t="s">
        <v>139</v>
      </c>
      <c r="C102" s="9" t="n">
        <v>100</v>
      </c>
      <c r="D102" s="11" t="n">
        <f aca="false">4.91*1.67</f>
        <v>8.1997</v>
      </c>
      <c r="E102" s="11" t="n">
        <f aca="false">3.79*1.67</f>
        <v>6.3293</v>
      </c>
      <c r="F102" s="11" t="n">
        <f aca="false">36.09*1.67</f>
        <v>60.2703</v>
      </c>
      <c r="G102" s="11" t="n">
        <v>344.5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14.25" hidden="false" customHeight="true" outlineLevel="0" collapsed="false">
      <c r="A103" s="9" t="s">
        <v>61</v>
      </c>
      <c r="B103" s="10" t="s">
        <v>62</v>
      </c>
      <c r="C103" s="9" t="n">
        <v>200</v>
      </c>
      <c r="D103" s="11" t="n">
        <v>0.01</v>
      </c>
      <c r="E103" s="11"/>
      <c r="F103" s="11" t="n">
        <v>15.62</v>
      </c>
      <c r="G103" s="11" t="n">
        <v>65.646</v>
      </c>
      <c r="H103" s="1"/>
      <c r="I103" s="1"/>
      <c r="J103" s="16"/>
      <c r="K103" s="1"/>
      <c r="L103" s="1"/>
      <c r="M103" s="16"/>
      <c r="N103" s="1"/>
      <c r="O103" s="1"/>
      <c r="P103" s="16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14.25" hidden="false" customHeight="true" outlineLevel="0" collapsed="false">
      <c r="A104" s="9"/>
      <c r="B104" s="10" t="s">
        <v>28</v>
      </c>
      <c r="C104" s="9" t="n">
        <v>60</v>
      </c>
      <c r="D104" s="11" t="n">
        <f aca="false">3.04*1.5</f>
        <v>4.56</v>
      </c>
      <c r="E104" s="11" t="n">
        <f aca="false">0.32*1.5</f>
        <v>0.48</v>
      </c>
      <c r="F104" s="11" t="n">
        <f aca="false">19.68*1.5</f>
        <v>29.52</v>
      </c>
      <c r="G104" s="11" t="n">
        <f aca="false">98.34*1.5</f>
        <v>147.51</v>
      </c>
      <c r="H104" s="17"/>
      <c r="I104" s="1"/>
      <c r="J104" s="17"/>
      <c r="K104" s="1"/>
      <c r="L104" s="1"/>
      <c r="M104" s="17"/>
      <c r="N104" s="16"/>
      <c r="O104" s="16"/>
      <c r="P104" s="16"/>
      <c r="Q104" s="16"/>
      <c r="R104" s="16"/>
      <c r="S104" s="16"/>
      <c r="T104" s="16"/>
      <c r="U104" s="16"/>
      <c r="V104" s="16"/>
      <c r="W104" s="1"/>
      <c r="X104" s="16"/>
      <c r="Y104" s="16"/>
      <c r="Z104" s="17"/>
    </row>
    <row r="105" customFormat="false" ht="18.75" hidden="false" customHeight="true" outlineLevel="0" collapsed="false">
      <c r="A105" s="13" t="s">
        <v>29</v>
      </c>
      <c r="B105" s="13"/>
      <c r="C105" s="6" t="n">
        <f aca="false">SUM(C101:C104)</f>
        <v>563</v>
      </c>
      <c r="D105" s="11"/>
      <c r="E105" s="11"/>
      <c r="F105" s="11"/>
      <c r="G105" s="11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customFormat="false" ht="17.25" hidden="false" customHeight="true" outlineLevel="0" collapsed="false">
      <c r="A106" s="9"/>
      <c r="B106" s="7" t="s">
        <v>81</v>
      </c>
      <c r="C106" s="6"/>
      <c r="D106" s="8" t="n">
        <f aca="false">D107+D108+D109+D110+D111+D112</f>
        <v>21.9691</v>
      </c>
      <c r="E106" s="8" t="n">
        <f aca="false">E107+E108+E109+E110+E111+E112</f>
        <v>38.5336</v>
      </c>
      <c r="F106" s="8" t="n">
        <f aca="false">F107+F108+F109+F110+F111+F112</f>
        <v>89.2928</v>
      </c>
      <c r="G106" s="8" t="n">
        <f aca="false">G107+G108+G109+G110+G111+G112</f>
        <v>839.155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customFormat="false" ht="15" hidden="false" customHeight="true" outlineLevel="0" collapsed="false">
      <c r="A107" s="9" t="s">
        <v>82</v>
      </c>
      <c r="B107" s="10" t="s">
        <v>83</v>
      </c>
      <c r="C107" s="9" t="n">
        <v>100</v>
      </c>
      <c r="D107" s="11" t="n">
        <f aca="false">0.94*1.66</f>
        <v>1.5604</v>
      </c>
      <c r="E107" s="11" t="n">
        <f aca="false">4.06*1.66</f>
        <v>6.7396</v>
      </c>
      <c r="F107" s="11" t="n">
        <f aca="false">5.96*1.66</f>
        <v>9.8936</v>
      </c>
      <c r="G107" s="11" t="n">
        <v>108.76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customFormat="false" ht="24" hidden="false" customHeight="true" outlineLevel="0" collapsed="false">
      <c r="A108" s="9" t="s">
        <v>119</v>
      </c>
      <c r="B108" s="10" t="s">
        <v>120</v>
      </c>
      <c r="C108" s="9" t="n">
        <v>260</v>
      </c>
      <c r="D108" s="11" t="n">
        <f aca="false">4.65*1.25</f>
        <v>5.8125</v>
      </c>
      <c r="E108" s="11" t="n">
        <f aca="false">6.92*1.25</f>
        <v>8.65</v>
      </c>
      <c r="F108" s="11" t="n">
        <f aca="false">12.49*1.25</f>
        <v>15.6125</v>
      </c>
      <c r="G108" s="11" t="n">
        <f aca="false">134.268*1.25</f>
        <v>167.835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customFormat="false" ht="14.25" hidden="false" customHeight="true" outlineLevel="0" collapsed="false">
      <c r="A109" s="9" t="s">
        <v>144</v>
      </c>
      <c r="B109" s="10" t="s">
        <v>145</v>
      </c>
      <c r="C109" s="33" t="n">
        <v>100</v>
      </c>
      <c r="D109" s="11" t="n">
        <v>9.63</v>
      </c>
      <c r="E109" s="11" t="n">
        <v>12.61</v>
      </c>
      <c r="F109" s="11" t="n">
        <v>8.51</v>
      </c>
      <c r="G109" s="11" t="n">
        <v>189.68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customFormat="false" ht="14.25" hidden="false" customHeight="true" outlineLevel="0" collapsed="false">
      <c r="A110" s="9" t="s">
        <v>33</v>
      </c>
      <c r="B110" s="10" t="s">
        <v>34</v>
      </c>
      <c r="C110" s="9" t="n">
        <v>200</v>
      </c>
      <c r="D110" s="11" t="n">
        <v>3.26</v>
      </c>
      <c r="E110" s="11" t="n">
        <f aca="false">7.8*1.33</f>
        <v>10.374</v>
      </c>
      <c r="F110" s="11" t="n">
        <f aca="false">21.99*1.33</f>
        <v>29.2467</v>
      </c>
      <c r="G110" s="11" t="n">
        <v>234.48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customFormat="false" ht="15.75" hidden="false" customHeight="true" outlineLevel="0" collapsed="false">
      <c r="A111" s="9" t="s">
        <v>123</v>
      </c>
      <c r="B111" s="10" t="s">
        <v>124</v>
      </c>
      <c r="C111" s="9" t="n">
        <v>200</v>
      </c>
      <c r="D111" s="11" t="n">
        <f aca="false">0.14*1.33</f>
        <v>0.1862</v>
      </c>
      <c r="E111" s="11"/>
      <c r="F111" s="11" t="n">
        <v>16.19</v>
      </c>
      <c r="G111" s="11" t="n">
        <v>89.23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customFormat="false" ht="13.5" hidden="false" customHeight="true" outlineLevel="0" collapsed="false">
      <c r="A112" s="12"/>
      <c r="B112" s="10" t="s">
        <v>28</v>
      </c>
      <c r="C112" s="9" t="n">
        <v>20</v>
      </c>
      <c r="D112" s="11" t="n">
        <v>1.52</v>
      </c>
      <c r="E112" s="11" t="n">
        <v>0.16</v>
      </c>
      <c r="F112" s="11" t="n">
        <v>9.84</v>
      </c>
      <c r="G112" s="11" t="n">
        <v>49.17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customFormat="false" ht="12.75" hidden="false" customHeight="true" outlineLevel="0" collapsed="false">
      <c r="A113" s="13" t="s">
        <v>29</v>
      </c>
      <c r="B113" s="13"/>
      <c r="C113" s="18" t="n">
        <f aca="false">SUM(C107:C112)</f>
        <v>880</v>
      </c>
      <c r="D113" s="11"/>
      <c r="E113" s="11"/>
      <c r="F113" s="11"/>
      <c r="G113" s="11"/>
      <c r="H113" s="204"/>
      <c r="I113" s="1"/>
      <c r="J113" s="17"/>
      <c r="K113" s="1"/>
      <c r="L113" s="1"/>
      <c r="M113" s="17"/>
      <c r="N113" s="16"/>
      <c r="O113" s="16"/>
      <c r="P113" s="16"/>
      <c r="Q113" s="16"/>
      <c r="R113" s="16"/>
      <c r="S113" s="16"/>
      <c r="T113" s="16"/>
      <c r="U113" s="16"/>
      <c r="V113" s="16"/>
      <c r="W113" s="1"/>
      <c r="X113" s="16"/>
      <c r="Y113" s="16"/>
      <c r="Z113" s="17"/>
    </row>
    <row r="114" customFormat="false" ht="27.95" hidden="false" customHeight="true" outlineLevel="0" collapsed="false">
      <c r="A114" s="6" t="s">
        <v>63</v>
      </c>
      <c r="B114" s="6"/>
      <c r="C114" s="6"/>
      <c r="D114" s="8" t="n">
        <f aca="false">D115+D121</f>
        <v>46.13304</v>
      </c>
      <c r="E114" s="8" t="n">
        <f aca="false">E115+E121</f>
        <v>73.29116</v>
      </c>
      <c r="F114" s="8" t="n">
        <f aca="false">F115+F121</f>
        <v>210.13928</v>
      </c>
      <c r="G114" s="8" t="n">
        <f aca="false">G115+G121</f>
        <v>1737.0285</v>
      </c>
    </row>
    <row r="115" customFormat="false" ht="12.75" hidden="false" customHeight="false" outlineLevel="0" collapsed="false">
      <c r="A115" s="6"/>
      <c r="B115" s="7" t="s">
        <v>18</v>
      </c>
      <c r="C115" s="6"/>
      <c r="D115" s="8" t="n">
        <f aca="false">D116+D117+D118+D119</f>
        <v>15.9025</v>
      </c>
      <c r="E115" s="8" t="n">
        <f aca="false">E116+E117+E118+E119</f>
        <v>24.4475</v>
      </c>
      <c r="F115" s="8" t="n">
        <f aca="false">F116+F117+F118+F119</f>
        <v>113.9375</v>
      </c>
      <c r="G115" s="8" t="n">
        <f aca="false">G116+G117+G118+G119</f>
        <v>765.405</v>
      </c>
    </row>
    <row r="116" customFormat="false" ht="25.5" hidden="false" customHeight="false" outlineLevel="0" collapsed="false">
      <c r="A116" s="9" t="s">
        <v>23</v>
      </c>
      <c r="B116" s="10" t="s">
        <v>136</v>
      </c>
      <c r="C116" s="9" t="n">
        <v>253</v>
      </c>
      <c r="D116" s="11" t="n">
        <f aca="false">7.81*1.25</f>
        <v>9.7625</v>
      </c>
      <c r="E116" s="11" t="n">
        <f aca="false">4.55*1.25</f>
        <v>5.6875</v>
      </c>
      <c r="F116" s="11" t="n">
        <f aca="false">33.47*1.25</f>
        <v>41.8375</v>
      </c>
      <c r="G116" s="11" t="n">
        <v>267.91</v>
      </c>
    </row>
    <row r="117" customFormat="false" ht="12.75" hidden="false" customHeight="false" outlineLevel="0" collapsed="false">
      <c r="A117" s="9"/>
      <c r="B117" s="10" t="s">
        <v>146</v>
      </c>
      <c r="C117" s="33" t="n">
        <v>60</v>
      </c>
      <c r="D117" s="11" t="n">
        <v>2.34</v>
      </c>
      <c r="E117" s="11" t="n">
        <v>18.36</v>
      </c>
      <c r="F117" s="11" t="n">
        <v>37.5</v>
      </c>
      <c r="G117" s="11" t="n">
        <v>332.57</v>
      </c>
    </row>
    <row r="118" customFormat="false" ht="12.75" hidden="false" customHeight="false" outlineLevel="0" collapsed="false">
      <c r="A118" s="9" t="s">
        <v>35</v>
      </c>
      <c r="B118" s="10" t="s">
        <v>36</v>
      </c>
      <c r="C118" s="33" t="n">
        <v>200</v>
      </c>
      <c r="D118" s="11" t="n">
        <v>0</v>
      </c>
      <c r="E118" s="11" t="n">
        <v>0</v>
      </c>
      <c r="F118" s="11" t="n">
        <v>10</v>
      </c>
      <c r="G118" s="11" t="n">
        <v>42</v>
      </c>
    </row>
    <row r="119" customFormat="false" ht="12.75" hidden="false" customHeight="false" outlineLevel="0" collapsed="false">
      <c r="A119" s="9"/>
      <c r="B119" s="10" t="s">
        <v>28</v>
      </c>
      <c r="C119" s="9" t="n">
        <v>50</v>
      </c>
      <c r="D119" s="11" t="n">
        <f aca="false">3.04*1.25</f>
        <v>3.8</v>
      </c>
      <c r="E119" s="11" t="n">
        <f aca="false">0.32*1.25</f>
        <v>0.4</v>
      </c>
      <c r="F119" s="11" t="n">
        <f aca="false">19.68*1.25</f>
        <v>24.6</v>
      </c>
      <c r="G119" s="11" t="n">
        <f aca="false">98.34*1.25</f>
        <v>122.925</v>
      </c>
    </row>
    <row r="120" customFormat="false" ht="12.75" hidden="false" customHeight="true" outlineLevel="0" collapsed="false">
      <c r="A120" s="13" t="s">
        <v>29</v>
      </c>
      <c r="B120" s="13"/>
      <c r="C120" s="18" t="n">
        <f aca="false">SUM(C116:C119)</f>
        <v>563</v>
      </c>
      <c r="D120" s="11"/>
      <c r="E120" s="11"/>
      <c r="F120" s="11"/>
      <c r="G120" s="11"/>
    </row>
    <row r="121" customFormat="false" ht="12.75" hidden="false" customHeight="false" outlineLevel="0" collapsed="false">
      <c r="A121" s="12"/>
      <c r="B121" s="7" t="s">
        <v>81</v>
      </c>
      <c r="C121" s="34"/>
      <c r="D121" s="8" t="n">
        <f aca="false">D122+D123+D124+D125+D126+D127</f>
        <v>30.23054</v>
      </c>
      <c r="E121" s="8" t="n">
        <f aca="false">E122+E123+E124+E125+E126+E127</f>
        <v>48.84366</v>
      </c>
      <c r="F121" s="8" t="n">
        <f aca="false">F122+F123+F124+F125+F126+F127</f>
        <v>96.20178</v>
      </c>
      <c r="G121" s="8" t="n">
        <f aca="false">G122+G123+G124+G125+G126+G127</f>
        <v>971.6235</v>
      </c>
    </row>
    <row r="122" customFormat="false" ht="12.75" hidden="false" customHeight="false" outlineLevel="0" collapsed="false">
      <c r="A122" s="9" t="s">
        <v>86</v>
      </c>
      <c r="B122" s="10" t="s">
        <v>87</v>
      </c>
      <c r="C122" s="9" t="n">
        <v>100</v>
      </c>
      <c r="D122" s="11" t="n">
        <f aca="false">0.84*1.666</f>
        <v>1.39944</v>
      </c>
      <c r="E122" s="11" t="n">
        <f aca="false">3.06*1.666</f>
        <v>5.09796</v>
      </c>
      <c r="F122" s="11" t="n">
        <f aca="false">6.83*1.666</f>
        <v>11.37878</v>
      </c>
      <c r="G122" s="11" t="n">
        <f aca="false">59.75*1.666</f>
        <v>99.5435</v>
      </c>
    </row>
    <row r="123" customFormat="false" ht="25.5" hidden="false" customHeight="false" outlineLevel="0" collapsed="false">
      <c r="A123" s="9" t="s">
        <v>125</v>
      </c>
      <c r="B123" s="10" t="s">
        <v>126</v>
      </c>
      <c r="C123" s="9" t="n">
        <v>260</v>
      </c>
      <c r="D123" s="11" t="n">
        <f aca="false">7.49*1.25</f>
        <v>9.3625</v>
      </c>
      <c r="E123" s="11" t="n">
        <f aca="false">(10.16+12.36)*1.25</f>
        <v>28.15</v>
      </c>
      <c r="F123" s="11" t="n">
        <f aca="false">(4.87+8.96)*1.25</f>
        <v>17.2875</v>
      </c>
      <c r="G123" s="11" t="n">
        <v>365.28</v>
      </c>
    </row>
    <row r="124" customFormat="false" ht="12.75" hidden="false" customHeight="false" outlineLevel="0" collapsed="false">
      <c r="A124" s="9" t="s">
        <v>96</v>
      </c>
      <c r="B124" s="10" t="s">
        <v>97</v>
      </c>
      <c r="C124" s="9" t="n">
        <v>100</v>
      </c>
      <c r="D124" s="11" t="n">
        <f aca="false">11.84*1.11</f>
        <v>13.1424</v>
      </c>
      <c r="E124" s="11" t="n">
        <f aca="false">10.06*1.11</f>
        <v>11.1666</v>
      </c>
      <c r="F124" s="11" t="n">
        <f aca="false">16.03*1.11</f>
        <v>17.7933</v>
      </c>
      <c r="G124" s="11" t="n">
        <f aca="false">208*1.11</f>
        <v>230.88</v>
      </c>
    </row>
    <row r="125" customFormat="false" ht="12.75" hidden="false" customHeight="false" outlineLevel="0" collapsed="false">
      <c r="A125" s="9" t="s">
        <v>127</v>
      </c>
      <c r="B125" s="10" t="s">
        <v>128</v>
      </c>
      <c r="C125" s="9" t="n">
        <v>200</v>
      </c>
      <c r="D125" s="11" t="n">
        <f aca="false">3.14*1.33</f>
        <v>4.1762</v>
      </c>
      <c r="E125" s="11" t="n">
        <f aca="false">3.27*1.33</f>
        <v>4.3491</v>
      </c>
      <c r="F125" s="11" t="n">
        <f aca="false">22.34*1.33</f>
        <v>29.7122</v>
      </c>
      <c r="G125" s="11" t="n">
        <v>182</v>
      </c>
    </row>
    <row r="126" customFormat="false" ht="12.75" hidden="false" customHeight="false" outlineLevel="0" collapsed="false">
      <c r="A126" s="9" t="s">
        <v>42</v>
      </c>
      <c r="B126" s="10" t="s">
        <v>70</v>
      </c>
      <c r="C126" s="9" t="n">
        <v>200</v>
      </c>
      <c r="D126" s="11" t="n">
        <f aca="false">1.15</f>
        <v>1.15</v>
      </c>
      <c r="E126" s="11"/>
      <c r="F126" s="11" t="n">
        <v>12.03</v>
      </c>
      <c r="G126" s="11" t="n">
        <v>55.4</v>
      </c>
    </row>
    <row r="127" customFormat="false" ht="12.75" hidden="false" customHeight="false" outlineLevel="0" collapsed="false">
      <c r="A127" s="12"/>
      <c r="B127" s="10" t="s">
        <v>100</v>
      </c>
      <c r="C127" s="9" t="n">
        <v>20</v>
      </c>
      <c r="D127" s="11" t="n">
        <v>1</v>
      </c>
      <c r="E127" s="11" t="n">
        <v>0.08</v>
      </c>
      <c r="F127" s="11" t="n">
        <v>8</v>
      </c>
      <c r="G127" s="11" t="n">
        <v>38.52</v>
      </c>
    </row>
    <row r="128" customFormat="false" ht="12.75" hidden="false" customHeight="true" outlineLevel="0" collapsed="false">
      <c r="A128" s="13" t="s">
        <v>29</v>
      </c>
      <c r="B128" s="13"/>
      <c r="C128" s="6" t="n">
        <f aca="false">SUM(C122:C127)</f>
        <v>880</v>
      </c>
      <c r="D128" s="11"/>
      <c r="E128" s="11"/>
      <c r="F128" s="11"/>
      <c r="G128" s="11"/>
    </row>
    <row r="129" customFormat="false" ht="27.95" hidden="false" customHeight="true" outlineLevel="0" collapsed="false">
      <c r="A129" s="6" t="s">
        <v>66</v>
      </c>
      <c r="B129" s="6"/>
      <c r="C129" s="6"/>
      <c r="D129" s="8" t="n">
        <f aca="false">D130+D137</f>
        <v>60.436</v>
      </c>
      <c r="E129" s="8" t="n">
        <f aca="false">E130+E137</f>
        <v>35.7365</v>
      </c>
      <c r="F129" s="8" t="n">
        <f aca="false">F130+F137</f>
        <v>223.9469</v>
      </c>
      <c r="G129" s="8" t="n">
        <f aca="false">G130+G137</f>
        <v>1515.85744</v>
      </c>
    </row>
    <row r="130" customFormat="false" ht="12.75" hidden="false" customHeight="false" outlineLevel="0" collapsed="false">
      <c r="A130" s="6"/>
      <c r="B130" s="7" t="s">
        <v>18</v>
      </c>
      <c r="C130" s="6"/>
      <c r="D130" s="8" t="n">
        <f aca="false">D131+D132+D133+D134+D135</f>
        <v>36.4136</v>
      </c>
      <c r="E130" s="8" t="n">
        <f aca="false">E131+E132+E133+E134+E135</f>
        <v>14.4633</v>
      </c>
      <c r="F130" s="8" t="n">
        <f aca="false">F131+F132+F133+F134+F135</f>
        <v>88.35</v>
      </c>
      <c r="G130" s="8" t="n">
        <f aca="false">G131+G132+G133+G134+G135</f>
        <v>654.272</v>
      </c>
    </row>
    <row r="131" customFormat="false" ht="15" hidden="false" customHeight="true" outlineLevel="0" collapsed="false">
      <c r="A131" s="9"/>
      <c r="B131" s="10" t="s">
        <v>67</v>
      </c>
      <c r="C131" s="9" t="n">
        <v>40</v>
      </c>
      <c r="D131" s="11" t="n">
        <v>5.08</v>
      </c>
      <c r="E131" s="11" t="n">
        <v>4.6</v>
      </c>
      <c r="F131" s="11" t="n">
        <v>0.28</v>
      </c>
      <c r="G131" s="11" t="n">
        <v>63.912</v>
      </c>
    </row>
    <row r="132" customFormat="false" ht="25.5" hidden="false" customHeight="false" outlineLevel="0" collapsed="false">
      <c r="A132" s="9" t="s">
        <v>68</v>
      </c>
      <c r="B132" s="19" t="s">
        <v>69</v>
      </c>
      <c r="C132" s="20" t="n">
        <v>160</v>
      </c>
      <c r="D132" s="21" t="n">
        <f aca="false">18.92*1.33+0.06</f>
        <v>25.2236</v>
      </c>
      <c r="E132" s="21" t="n">
        <f aca="false">7.01*1.33+0.06</f>
        <v>9.3833</v>
      </c>
      <c r="F132" s="21" t="n">
        <f aca="false">15*1.33+16.77</f>
        <v>36.72</v>
      </c>
      <c r="G132" s="21" t="n">
        <v>344.61</v>
      </c>
    </row>
    <row r="133" customFormat="false" ht="12.75" hidden="false" customHeight="false" outlineLevel="0" collapsed="false">
      <c r="A133" s="9"/>
      <c r="B133" s="10" t="s">
        <v>45</v>
      </c>
      <c r="C133" s="9" t="n">
        <v>100</v>
      </c>
      <c r="D133" s="11" t="n">
        <v>0.4</v>
      </c>
      <c r="E133" s="11" t="n">
        <v>0</v>
      </c>
      <c r="F133" s="11" t="n">
        <v>9.8</v>
      </c>
      <c r="G133" s="11" t="n">
        <v>42.84</v>
      </c>
    </row>
    <row r="134" customFormat="false" ht="16.5" hidden="false" customHeight="true" outlineLevel="0" collapsed="false">
      <c r="A134" s="9" t="s">
        <v>42</v>
      </c>
      <c r="B134" s="10" t="s">
        <v>70</v>
      </c>
      <c r="C134" s="9" t="n">
        <v>200</v>
      </c>
      <c r="D134" s="11" t="n">
        <v>1.15</v>
      </c>
      <c r="E134" s="11"/>
      <c r="F134" s="11" t="n">
        <v>12.03</v>
      </c>
      <c r="G134" s="11" t="n">
        <v>55.4</v>
      </c>
    </row>
    <row r="135" customFormat="false" ht="12.75" hidden="false" customHeight="false" outlineLevel="0" collapsed="false">
      <c r="A135" s="9"/>
      <c r="B135" s="10" t="s">
        <v>28</v>
      </c>
      <c r="C135" s="9" t="n">
        <v>60</v>
      </c>
      <c r="D135" s="11" t="n">
        <f aca="false">3.04*1.5</f>
        <v>4.56</v>
      </c>
      <c r="E135" s="11" t="n">
        <f aca="false">0.32*1.5</f>
        <v>0.48</v>
      </c>
      <c r="F135" s="11" t="n">
        <f aca="false">19.68*1.5</f>
        <v>29.52</v>
      </c>
      <c r="G135" s="11" t="n">
        <f aca="false">98.34*1.5</f>
        <v>147.51</v>
      </c>
    </row>
    <row r="136" customFormat="false" ht="12.75" hidden="false" customHeight="true" outlineLevel="0" collapsed="false">
      <c r="A136" s="13" t="s">
        <v>29</v>
      </c>
      <c r="B136" s="13"/>
      <c r="C136" s="6" t="n">
        <f aca="false">SUM(C131:C135)</f>
        <v>560</v>
      </c>
      <c r="D136" s="11"/>
      <c r="E136" s="11"/>
      <c r="F136" s="11"/>
      <c r="G136" s="11"/>
    </row>
    <row r="137" customFormat="false" ht="18.75" hidden="false" customHeight="true" outlineLevel="0" collapsed="false">
      <c r="A137" s="9"/>
      <c r="B137" s="7" t="s">
        <v>81</v>
      </c>
      <c r="C137" s="6"/>
      <c r="D137" s="8" t="n">
        <f aca="false">D138+D139+D140+D141+D142+D143</f>
        <v>24.0224</v>
      </c>
      <c r="E137" s="8" t="n">
        <f aca="false">E138+E139+E140+E141+E142+E143</f>
        <v>21.2732</v>
      </c>
      <c r="F137" s="8" t="n">
        <f aca="false">F138+F139+F140+F141+F142+F143</f>
        <v>135.5969</v>
      </c>
      <c r="G137" s="8" t="n">
        <f aca="false">G138+G139+G140+G141+G142+G143</f>
        <v>861.58544</v>
      </c>
    </row>
    <row r="138" customFormat="false" ht="12.75" hidden="false" customHeight="false" outlineLevel="0" collapsed="false">
      <c r="A138" s="12" t="s">
        <v>107</v>
      </c>
      <c r="B138" s="10" t="s">
        <v>108</v>
      </c>
      <c r="C138" s="9" t="n">
        <v>100</v>
      </c>
      <c r="D138" s="11" t="n">
        <f aca="false">0.74*1.66</f>
        <v>1.2284</v>
      </c>
      <c r="E138" s="11" t="n">
        <f aca="false">0.06*1.67</f>
        <v>0.1002</v>
      </c>
      <c r="F138" s="11" t="n">
        <f aca="false">16.92*1.67</f>
        <v>28.2564</v>
      </c>
      <c r="G138" s="11" t="n">
        <f aca="false">74.71*1.67</f>
        <v>124.7657</v>
      </c>
    </row>
    <row r="139" customFormat="false" ht="25.5" hidden="false" customHeight="false" outlineLevel="0" collapsed="false">
      <c r="A139" s="9" t="s">
        <v>113</v>
      </c>
      <c r="B139" s="10" t="s">
        <v>114</v>
      </c>
      <c r="C139" s="9" t="n">
        <v>255</v>
      </c>
      <c r="D139" s="11" t="n">
        <f aca="false">3.96*1.25</f>
        <v>4.95</v>
      </c>
      <c r="E139" s="11" t="n">
        <f aca="false">4.86*1.25</f>
        <v>6.075</v>
      </c>
      <c r="F139" s="11" t="n">
        <f aca="false">17.01*1.25</f>
        <v>21.2625</v>
      </c>
      <c r="G139" s="11" t="n">
        <f aca="false">131.81*1.254</f>
        <v>165.28974</v>
      </c>
    </row>
    <row r="140" customFormat="false" ht="12.75" hidden="false" customHeight="false" outlineLevel="0" collapsed="false">
      <c r="A140" s="9" t="s">
        <v>31</v>
      </c>
      <c r="B140" s="10" t="s">
        <v>78</v>
      </c>
      <c r="C140" s="9" t="n">
        <v>115</v>
      </c>
      <c r="D140" s="11" t="n">
        <v>6.32</v>
      </c>
      <c r="E140" s="11" t="n">
        <v>8.79</v>
      </c>
      <c r="F140" s="11" t="n">
        <v>19.37</v>
      </c>
      <c r="G140" s="11" t="n">
        <v>187.01</v>
      </c>
    </row>
    <row r="141" customFormat="false" ht="12.75" hidden="false" customHeight="false" outlineLevel="0" collapsed="false">
      <c r="A141" s="9" t="s">
        <v>98</v>
      </c>
      <c r="B141" s="10" t="s">
        <v>99</v>
      </c>
      <c r="C141" s="9" t="n">
        <v>180</v>
      </c>
      <c r="D141" s="11" t="n">
        <f aca="false">8.77*1.2</f>
        <v>10.524</v>
      </c>
      <c r="E141" s="11" t="n">
        <f aca="false">5.19*1.2</f>
        <v>6.228</v>
      </c>
      <c r="F141" s="11" t="n">
        <f aca="false">39.6*1.23</f>
        <v>48.708</v>
      </c>
      <c r="G141" s="11" t="n">
        <v>304</v>
      </c>
    </row>
    <row r="142" customFormat="false" ht="12.75" hidden="false" customHeight="false" outlineLevel="0" collapsed="false">
      <c r="A142" s="9" t="s">
        <v>35</v>
      </c>
      <c r="B142" s="10" t="s">
        <v>36</v>
      </c>
      <c r="C142" s="9" t="n">
        <v>200</v>
      </c>
      <c r="D142" s="11" t="n">
        <v>0</v>
      </c>
      <c r="E142" s="11" t="n">
        <v>0</v>
      </c>
      <c r="F142" s="11" t="n">
        <v>10</v>
      </c>
      <c r="G142" s="11" t="n">
        <v>42</v>
      </c>
    </row>
    <row r="143" customFormat="false" ht="12" hidden="false" customHeight="true" outlineLevel="0" collapsed="false">
      <c r="A143" s="12"/>
      <c r="B143" s="10" t="s">
        <v>100</v>
      </c>
      <c r="C143" s="9" t="n">
        <v>20</v>
      </c>
      <c r="D143" s="11" t="n">
        <v>1</v>
      </c>
      <c r="E143" s="11" t="n">
        <v>0.08</v>
      </c>
      <c r="F143" s="11" t="n">
        <v>8</v>
      </c>
      <c r="G143" s="11" t="n">
        <v>38.52</v>
      </c>
    </row>
    <row r="144" customFormat="false" ht="12.75" hidden="false" customHeight="true" outlineLevel="0" collapsed="false">
      <c r="A144" s="13" t="s">
        <v>29</v>
      </c>
      <c r="B144" s="13"/>
      <c r="C144" s="6" t="n">
        <f aca="false">SUM(C138:C143)</f>
        <v>870</v>
      </c>
      <c r="D144" s="11"/>
      <c r="E144" s="11"/>
      <c r="F144" s="11"/>
      <c r="G144" s="11"/>
    </row>
    <row r="145" customFormat="false" ht="27.95" hidden="false" customHeight="true" outlineLevel="0" collapsed="false">
      <c r="A145" s="7" t="s">
        <v>71</v>
      </c>
      <c r="B145" s="7"/>
      <c r="C145" s="7"/>
      <c r="D145" s="8" t="n">
        <f aca="false">D146+D153</f>
        <v>51.6415</v>
      </c>
      <c r="E145" s="8" t="n">
        <f aca="false">E146+E153</f>
        <v>52.745</v>
      </c>
      <c r="F145" s="8" t="n">
        <f aca="false">F146+F153</f>
        <v>195.43076</v>
      </c>
      <c r="G145" s="8" t="n">
        <f aca="false">G146+G153</f>
        <v>1513.176</v>
      </c>
      <c r="H145" s="3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22"/>
    </row>
    <row r="146" customFormat="false" ht="12.75" hidden="false" customHeight="false" outlineLevel="0" collapsed="false">
      <c r="A146" s="6"/>
      <c r="B146" s="7" t="s">
        <v>18</v>
      </c>
      <c r="C146" s="6"/>
      <c r="D146" s="8" t="n">
        <f aca="false">D147+D148+D149+D150+D151</f>
        <v>27.142</v>
      </c>
      <c r="E146" s="8" t="n">
        <f aca="false">E147+E148+E149+E150+E151</f>
        <v>13.744</v>
      </c>
      <c r="F146" s="8" t="n">
        <f aca="false">F147+F148+F149+F150+F151</f>
        <v>92.66</v>
      </c>
      <c r="G146" s="8" t="n">
        <f aca="false">G147+G148+G149+G150+G151</f>
        <v>627.686</v>
      </c>
      <c r="H146" s="3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22"/>
    </row>
    <row r="147" customFormat="false" ht="12.75" hidden="false" customHeight="false" outlineLevel="0" collapsed="false">
      <c r="A147" s="9" t="s">
        <v>72</v>
      </c>
      <c r="B147" s="10" t="s">
        <v>73</v>
      </c>
      <c r="C147" s="9" t="n">
        <v>100</v>
      </c>
      <c r="D147" s="11" t="n">
        <v>17.83</v>
      </c>
      <c r="E147" s="11" t="n">
        <v>7.99</v>
      </c>
      <c r="F147" s="11" t="n">
        <v>4.25</v>
      </c>
      <c r="G147" s="11" t="n">
        <v>165</v>
      </c>
      <c r="H147" s="1"/>
      <c r="I147" s="1"/>
      <c r="J147" s="1"/>
      <c r="K147" s="1"/>
      <c r="L147" s="1"/>
      <c r="M147" s="1"/>
      <c r="N147" s="1"/>
      <c r="O147" s="1"/>
      <c r="P147" s="16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12.75" hidden="false" customHeight="false" outlineLevel="0" collapsed="false">
      <c r="A148" s="9" t="s">
        <v>58</v>
      </c>
      <c r="B148" s="10" t="s">
        <v>59</v>
      </c>
      <c r="C148" s="9" t="n">
        <v>180</v>
      </c>
      <c r="D148" s="11" t="n">
        <f aca="false">3.81*1.2</f>
        <v>4.572</v>
      </c>
      <c r="E148" s="11" t="n">
        <f aca="false">2.72*1.2</f>
        <v>3.264</v>
      </c>
      <c r="F148" s="11" t="n">
        <f aca="false">40*1.2</f>
        <v>48</v>
      </c>
      <c r="G148" s="11" t="n">
        <f aca="false">208.48*1.2</f>
        <v>250.176</v>
      </c>
      <c r="H148" s="1"/>
      <c r="I148" s="1"/>
      <c r="J148" s="1"/>
      <c r="K148" s="1"/>
      <c r="L148" s="1"/>
      <c r="M148" s="1"/>
      <c r="N148" s="16"/>
      <c r="O148" s="16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12.75" hidden="false" customHeight="false" outlineLevel="0" collapsed="false">
      <c r="A149" s="12" t="s">
        <v>74</v>
      </c>
      <c r="B149" s="10" t="s">
        <v>75</v>
      </c>
      <c r="C149" s="9" t="n">
        <v>20</v>
      </c>
      <c r="D149" s="11" t="n">
        <v>0.18</v>
      </c>
      <c r="E149" s="11" t="n">
        <v>2.01</v>
      </c>
      <c r="F149" s="11" t="n">
        <v>0.89</v>
      </c>
      <c r="G149" s="11" t="n">
        <v>23</v>
      </c>
      <c r="H149" s="1"/>
      <c r="I149" s="1"/>
      <c r="J149" s="16"/>
      <c r="K149" s="1"/>
      <c r="L149" s="1"/>
      <c r="M149" s="1"/>
      <c r="N149" s="1"/>
      <c r="O149" s="1"/>
      <c r="P149" s="16"/>
      <c r="Q149" s="16"/>
      <c r="R149" s="16"/>
      <c r="S149" s="16"/>
      <c r="T149" s="16"/>
      <c r="U149" s="16"/>
      <c r="V149" s="16"/>
      <c r="W149" s="1"/>
      <c r="X149" s="16"/>
      <c r="Y149" s="16"/>
      <c r="Z149" s="1"/>
    </row>
    <row r="150" customFormat="false" ht="12.75" hidden="false" customHeight="false" outlineLevel="0" collapsed="false">
      <c r="A150" s="9" t="s">
        <v>35</v>
      </c>
      <c r="B150" s="10" t="s">
        <v>36</v>
      </c>
      <c r="C150" s="12" t="n">
        <v>200</v>
      </c>
      <c r="D150" s="11" t="n">
        <v>0</v>
      </c>
      <c r="E150" s="11" t="n">
        <v>0</v>
      </c>
      <c r="F150" s="11" t="n">
        <v>10</v>
      </c>
      <c r="G150" s="11" t="n">
        <v>42</v>
      </c>
      <c r="H150" s="1"/>
      <c r="I150" s="1"/>
      <c r="J150" s="16"/>
      <c r="K150" s="1"/>
      <c r="L150" s="1"/>
      <c r="M150" s="1"/>
      <c r="N150" s="1"/>
      <c r="O150" s="1"/>
      <c r="P150" s="16"/>
      <c r="Q150" s="16"/>
      <c r="R150" s="16"/>
      <c r="S150" s="16"/>
      <c r="T150" s="16"/>
      <c r="U150" s="16"/>
      <c r="V150" s="16"/>
      <c r="W150" s="1"/>
      <c r="X150" s="16"/>
      <c r="Y150" s="16"/>
      <c r="Z150" s="1"/>
    </row>
    <row r="151" customFormat="false" ht="12.75" hidden="false" customHeight="false" outlineLevel="0" collapsed="false">
      <c r="A151" s="9"/>
      <c r="B151" s="10" t="s">
        <v>28</v>
      </c>
      <c r="C151" s="9" t="n">
        <v>60</v>
      </c>
      <c r="D151" s="11" t="n">
        <f aca="false">3.04*1.5</f>
        <v>4.56</v>
      </c>
      <c r="E151" s="11" t="n">
        <f aca="false">0.32*1.5</f>
        <v>0.48</v>
      </c>
      <c r="F151" s="11" t="n">
        <f aca="false">19.68*1.5</f>
        <v>29.52</v>
      </c>
      <c r="G151" s="11" t="n">
        <f aca="false">98.34*1.5</f>
        <v>147.51</v>
      </c>
      <c r="H151" s="17"/>
      <c r="I151" s="1"/>
      <c r="J151" s="17"/>
      <c r="K151" s="1"/>
      <c r="L151" s="1"/>
      <c r="M151" s="17"/>
      <c r="N151" s="16"/>
      <c r="O151" s="16"/>
      <c r="P151" s="16"/>
      <c r="Q151" s="16"/>
      <c r="R151" s="16"/>
      <c r="S151" s="16"/>
      <c r="T151" s="16"/>
      <c r="U151" s="16"/>
      <c r="V151" s="16"/>
      <c r="W151" s="1"/>
      <c r="X151" s="16"/>
      <c r="Y151" s="16"/>
      <c r="Z151" s="17"/>
    </row>
    <row r="152" customFormat="false" ht="12.75" hidden="false" customHeight="true" outlineLevel="0" collapsed="false">
      <c r="A152" s="13" t="s">
        <v>29</v>
      </c>
      <c r="B152" s="13"/>
      <c r="C152" s="18" t="n">
        <f aca="false">SUM(C147:C151)</f>
        <v>560</v>
      </c>
      <c r="D152" s="11"/>
      <c r="E152" s="11"/>
      <c r="F152" s="11"/>
      <c r="G152" s="11"/>
      <c r="H152" s="36"/>
      <c r="I152" s="1"/>
      <c r="J152" s="16"/>
      <c r="K152" s="1"/>
      <c r="L152" s="1"/>
      <c r="M152" s="1"/>
      <c r="N152" s="17"/>
      <c r="O152" s="17"/>
      <c r="P152" s="16"/>
      <c r="Q152" s="16"/>
      <c r="R152" s="16"/>
      <c r="S152" s="16"/>
      <c r="T152" s="16"/>
      <c r="U152" s="16"/>
      <c r="V152" s="16"/>
      <c r="W152" s="17"/>
      <c r="X152" s="16"/>
      <c r="Y152" s="16"/>
      <c r="Z152" s="17"/>
    </row>
    <row r="153" customFormat="false" ht="12.75" hidden="false" customHeight="false" outlineLevel="0" collapsed="false">
      <c r="A153" s="9"/>
      <c r="B153" s="7" t="s">
        <v>81</v>
      </c>
      <c r="C153" s="6"/>
      <c r="D153" s="8" t="n">
        <f aca="false">D154+D155+D156+D157+D158+D159</f>
        <v>24.4995</v>
      </c>
      <c r="E153" s="8" t="n">
        <f aca="false">E154+E155+E156+E157+E158+E159</f>
        <v>39.001</v>
      </c>
      <c r="F153" s="8" t="n">
        <f aca="false">F154+F155+F156+F157+F158+F159</f>
        <v>102.77076</v>
      </c>
      <c r="G153" s="8" t="n">
        <f aca="false">G154+G155+G156+G157+G158+G159</f>
        <v>885.49</v>
      </c>
      <c r="H153" s="36"/>
      <c r="I153" s="1"/>
      <c r="J153" s="16"/>
      <c r="K153" s="1"/>
      <c r="L153" s="1"/>
      <c r="M153" s="1"/>
      <c r="N153" s="17"/>
      <c r="O153" s="17"/>
      <c r="P153" s="16"/>
      <c r="Q153" s="16"/>
      <c r="R153" s="16"/>
      <c r="S153" s="16"/>
      <c r="T153" s="16"/>
      <c r="U153" s="16"/>
      <c r="V153" s="16"/>
      <c r="W153" s="17"/>
      <c r="X153" s="16"/>
      <c r="Y153" s="16"/>
      <c r="Z153" s="17"/>
    </row>
    <row r="154" customFormat="false" ht="12.75" hidden="false" customHeight="false" outlineLevel="0" collapsed="false">
      <c r="A154" s="9" t="s">
        <v>38</v>
      </c>
      <c r="B154" s="10" t="s">
        <v>39</v>
      </c>
      <c r="C154" s="9" t="n">
        <v>100</v>
      </c>
      <c r="D154" s="11" t="n">
        <f aca="false">0.9*1.67</f>
        <v>1.503</v>
      </c>
      <c r="E154" s="11" t="n">
        <v>0.06</v>
      </c>
      <c r="F154" s="11" t="n">
        <f aca="false">8.28*1.667</f>
        <v>13.80276</v>
      </c>
      <c r="G154" s="11" t="n">
        <v>64.28</v>
      </c>
      <c r="H154" s="36"/>
      <c r="I154" s="1"/>
      <c r="J154" s="16"/>
      <c r="K154" s="1"/>
      <c r="L154" s="1"/>
      <c r="M154" s="1"/>
      <c r="N154" s="17"/>
      <c r="O154" s="17"/>
      <c r="P154" s="16"/>
      <c r="Q154" s="16"/>
      <c r="R154" s="16"/>
      <c r="S154" s="16"/>
      <c r="T154" s="16"/>
      <c r="U154" s="16"/>
      <c r="V154" s="16"/>
      <c r="W154" s="17"/>
      <c r="X154" s="16"/>
      <c r="Y154" s="16"/>
      <c r="Z154" s="17"/>
    </row>
    <row r="155" customFormat="false" ht="25.5" hidden="false" customHeight="false" outlineLevel="0" collapsed="false">
      <c r="A155" s="9" t="s">
        <v>130</v>
      </c>
      <c r="B155" s="10" t="s">
        <v>131</v>
      </c>
      <c r="C155" s="9" t="n">
        <v>255</v>
      </c>
      <c r="D155" s="11" t="n">
        <f aca="false">5.81*1.25</f>
        <v>7.2625</v>
      </c>
      <c r="E155" s="11" t="n">
        <f aca="false">11.82*1.25</f>
        <v>14.775</v>
      </c>
      <c r="F155" s="11" t="n">
        <f aca="false">15.48*1.25</f>
        <v>19.35</v>
      </c>
      <c r="G155" s="11" t="n">
        <f aca="false">196*1.25</f>
        <v>245</v>
      </c>
      <c r="H155" s="36"/>
      <c r="I155" s="1"/>
      <c r="J155" s="16"/>
      <c r="K155" s="1"/>
      <c r="L155" s="1"/>
      <c r="M155" s="1"/>
      <c r="N155" s="17"/>
      <c r="O155" s="17"/>
      <c r="P155" s="16"/>
      <c r="Q155" s="16"/>
      <c r="R155" s="16"/>
      <c r="S155" s="16"/>
      <c r="T155" s="16"/>
      <c r="U155" s="16"/>
      <c r="V155" s="16"/>
      <c r="W155" s="17"/>
      <c r="X155" s="16"/>
      <c r="Y155" s="16"/>
      <c r="Z155" s="17"/>
    </row>
    <row r="156" customFormat="false" ht="12.75" hidden="false" customHeight="false" outlineLevel="0" collapsed="false">
      <c r="A156" s="9" t="s">
        <v>49</v>
      </c>
      <c r="B156" s="10" t="s">
        <v>50</v>
      </c>
      <c r="C156" s="9" t="n">
        <v>105</v>
      </c>
      <c r="D156" s="11" t="n">
        <v>6.14</v>
      </c>
      <c r="E156" s="11" t="n">
        <v>11.91</v>
      </c>
      <c r="F156" s="11" t="n">
        <v>10.92</v>
      </c>
      <c r="G156" s="11" t="n">
        <v>178.84</v>
      </c>
      <c r="H156" s="36"/>
      <c r="I156" s="1"/>
      <c r="J156" s="16"/>
      <c r="K156" s="1"/>
      <c r="L156" s="1"/>
      <c r="M156" s="1"/>
      <c r="N156" s="17"/>
      <c r="O156" s="17"/>
      <c r="P156" s="16"/>
      <c r="Q156" s="16"/>
      <c r="R156" s="16"/>
      <c r="S156" s="16"/>
      <c r="T156" s="16"/>
      <c r="U156" s="16"/>
      <c r="V156" s="16"/>
      <c r="W156" s="17"/>
      <c r="X156" s="16"/>
      <c r="Y156" s="16"/>
      <c r="Z156" s="17"/>
    </row>
    <row r="157" customFormat="false" ht="12.75" hidden="false" customHeight="false" outlineLevel="0" collapsed="false">
      <c r="A157" s="9" t="s">
        <v>132</v>
      </c>
      <c r="B157" s="10" t="s">
        <v>133</v>
      </c>
      <c r="C157" s="9" t="n">
        <v>180</v>
      </c>
      <c r="D157" s="11" t="n">
        <f aca="false">5.77*1.2</f>
        <v>6.924</v>
      </c>
      <c r="E157" s="11" t="n">
        <f aca="false">10.08*1.2</f>
        <v>12.096</v>
      </c>
      <c r="F157" s="11" t="n">
        <f aca="false">30.69*1.2</f>
        <v>36.828</v>
      </c>
      <c r="G157" s="11" t="n">
        <f aca="false">244*1.2</f>
        <v>292.8</v>
      </c>
      <c r="H157" s="36"/>
      <c r="I157" s="1"/>
      <c r="J157" s="16"/>
      <c r="K157" s="1"/>
      <c r="L157" s="1"/>
      <c r="M157" s="1"/>
      <c r="N157" s="17"/>
      <c r="O157" s="17"/>
      <c r="P157" s="16"/>
      <c r="Q157" s="16"/>
      <c r="R157" s="16"/>
      <c r="S157" s="16"/>
      <c r="T157" s="16"/>
      <c r="U157" s="16"/>
      <c r="V157" s="16"/>
      <c r="W157" s="17"/>
      <c r="X157" s="16"/>
      <c r="Y157" s="16"/>
      <c r="Z157" s="17"/>
    </row>
    <row r="158" customFormat="false" ht="12.75" hidden="false" customHeight="false" outlineLevel="0" collapsed="false">
      <c r="A158" s="9" t="s">
        <v>42</v>
      </c>
      <c r="B158" s="10" t="s">
        <v>70</v>
      </c>
      <c r="C158" s="9" t="n">
        <v>200</v>
      </c>
      <c r="D158" s="11" t="n">
        <v>1.15</v>
      </c>
      <c r="E158" s="11"/>
      <c r="F158" s="11" t="n">
        <v>12.03</v>
      </c>
      <c r="G158" s="11" t="n">
        <v>55.4</v>
      </c>
      <c r="H158" s="36"/>
      <c r="I158" s="1"/>
      <c r="J158" s="16"/>
      <c r="K158" s="1"/>
      <c r="L158" s="1"/>
      <c r="M158" s="1"/>
      <c r="N158" s="17"/>
      <c r="O158" s="17"/>
      <c r="P158" s="16"/>
      <c r="Q158" s="16"/>
      <c r="R158" s="16"/>
      <c r="S158" s="16"/>
      <c r="T158" s="16"/>
      <c r="U158" s="16"/>
      <c r="V158" s="16"/>
      <c r="W158" s="17"/>
      <c r="X158" s="16"/>
      <c r="Y158" s="16"/>
      <c r="Z158" s="17"/>
    </row>
    <row r="159" customFormat="false" ht="12.75" hidden="false" customHeight="false" outlineLevel="0" collapsed="false">
      <c r="A159" s="12"/>
      <c r="B159" s="10" t="s">
        <v>28</v>
      </c>
      <c r="C159" s="9" t="n">
        <v>20</v>
      </c>
      <c r="D159" s="11" t="n">
        <v>1.52</v>
      </c>
      <c r="E159" s="11" t="n">
        <v>0.16</v>
      </c>
      <c r="F159" s="11" t="n">
        <v>9.84</v>
      </c>
      <c r="G159" s="11" t="n">
        <v>49.17</v>
      </c>
      <c r="H159" s="36"/>
      <c r="I159" s="1"/>
      <c r="J159" s="16"/>
      <c r="K159" s="1"/>
      <c r="L159" s="1"/>
      <c r="M159" s="1"/>
      <c r="N159" s="17"/>
      <c r="O159" s="17"/>
      <c r="P159" s="16"/>
      <c r="Q159" s="16"/>
      <c r="R159" s="16"/>
      <c r="S159" s="16"/>
      <c r="T159" s="16"/>
      <c r="U159" s="16"/>
      <c r="V159" s="16"/>
      <c r="W159" s="17"/>
      <c r="X159" s="16"/>
      <c r="Y159" s="16"/>
      <c r="Z159" s="17"/>
    </row>
    <row r="160" customFormat="false" ht="12.75" hidden="false" customHeight="true" outlineLevel="0" collapsed="false">
      <c r="A160" s="13" t="s">
        <v>29</v>
      </c>
      <c r="B160" s="13"/>
      <c r="C160" s="6" t="n">
        <f aca="false">SUM(C154:C159)</f>
        <v>860</v>
      </c>
      <c r="D160" s="9"/>
      <c r="E160" s="9"/>
      <c r="F160" s="9"/>
      <c r="G160" s="9"/>
      <c r="H160" s="36"/>
      <c r="I160" s="1"/>
      <c r="J160" s="16"/>
      <c r="K160" s="1"/>
      <c r="L160" s="1"/>
      <c r="M160" s="1"/>
      <c r="N160" s="17"/>
      <c r="O160" s="17"/>
      <c r="P160" s="16"/>
      <c r="Q160" s="16"/>
      <c r="R160" s="16"/>
      <c r="S160" s="16"/>
      <c r="T160" s="16"/>
      <c r="U160" s="16"/>
      <c r="V160" s="16"/>
      <c r="W160" s="17"/>
      <c r="X160" s="16"/>
      <c r="Y160" s="16"/>
      <c r="Z160" s="17"/>
    </row>
    <row r="162" customFormat="false" ht="12.75" hidden="false" customHeight="true" outlineLevel="0" collapsed="false">
      <c r="A162" s="205" t="s">
        <v>257</v>
      </c>
      <c r="B162" s="205"/>
      <c r="C162" s="205"/>
      <c r="D162" s="205"/>
      <c r="E162" s="205"/>
      <c r="F162" s="205"/>
      <c r="G162" s="205"/>
    </row>
    <row r="163" customFormat="false" ht="12.75" hidden="false" customHeight="false" outlineLevel="0" collapsed="false">
      <c r="A163" s="205"/>
      <c r="B163" s="205"/>
      <c r="C163" s="205"/>
      <c r="D163" s="205"/>
      <c r="E163" s="205"/>
      <c r="F163" s="205"/>
      <c r="G163" s="205"/>
    </row>
    <row r="164" customFormat="false" ht="12.75" hidden="false" customHeight="false" outlineLevel="0" collapsed="false">
      <c r="A164" s="205"/>
      <c r="B164" s="205"/>
      <c r="C164" s="205"/>
      <c r="D164" s="205"/>
      <c r="E164" s="205"/>
      <c r="F164" s="205"/>
      <c r="G164" s="205"/>
    </row>
    <row r="165" customFormat="false" ht="12.75" hidden="false" customHeight="false" outlineLevel="0" collapsed="false">
      <c r="A165" s="205"/>
      <c r="B165" s="205"/>
      <c r="C165" s="205"/>
      <c r="D165" s="205"/>
      <c r="E165" s="205"/>
      <c r="F165" s="205"/>
      <c r="G165" s="205"/>
    </row>
    <row r="166" customFormat="false" ht="12.75" hidden="false" customHeight="false" outlineLevel="0" collapsed="false">
      <c r="A166" s="205"/>
      <c r="B166" s="205"/>
      <c r="C166" s="205"/>
      <c r="D166" s="205"/>
      <c r="E166" s="205"/>
      <c r="F166" s="205"/>
      <c r="G166" s="205"/>
    </row>
    <row r="167" customFormat="false" ht="12.75" hidden="false" customHeight="false" outlineLevel="0" collapsed="false">
      <c r="A167" s="205"/>
      <c r="B167" s="205"/>
      <c r="C167" s="205"/>
      <c r="D167" s="205"/>
      <c r="E167" s="205"/>
      <c r="F167" s="205"/>
      <c r="G167" s="205"/>
    </row>
    <row r="168" customFormat="false" ht="12.75" hidden="false" customHeight="false" outlineLevel="0" collapsed="false">
      <c r="A168" s="205"/>
      <c r="B168" s="205"/>
      <c r="C168" s="205"/>
      <c r="D168" s="205"/>
      <c r="E168" s="205"/>
      <c r="F168" s="205"/>
      <c r="G168" s="205"/>
    </row>
    <row r="169" customFormat="false" ht="12.75" hidden="false" customHeight="false" outlineLevel="0" collapsed="false">
      <c r="A169" s="205"/>
      <c r="B169" s="205"/>
      <c r="C169" s="205"/>
      <c r="D169" s="205"/>
      <c r="E169" s="205"/>
      <c r="F169" s="205"/>
      <c r="G169" s="205"/>
    </row>
    <row r="170" customFormat="false" ht="12.75" hidden="false" customHeight="false" outlineLevel="0" collapsed="false">
      <c r="A170" s="205"/>
      <c r="B170" s="205"/>
      <c r="C170" s="205"/>
      <c r="D170" s="205"/>
      <c r="E170" s="205"/>
      <c r="F170" s="205"/>
      <c r="G170" s="205"/>
    </row>
    <row r="171" customFormat="false" ht="12.75" hidden="false" customHeight="false" outlineLevel="0" collapsed="false">
      <c r="A171" s="205"/>
      <c r="B171" s="205"/>
      <c r="C171" s="205"/>
      <c r="D171" s="205"/>
      <c r="E171" s="205"/>
      <c r="F171" s="205"/>
      <c r="G171" s="205"/>
    </row>
    <row r="172" customFormat="false" ht="12.75" hidden="false" customHeight="false" outlineLevel="0" collapsed="false">
      <c r="A172" s="205"/>
      <c r="B172" s="205"/>
      <c r="C172" s="205"/>
      <c r="D172" s="205"/>
      <c r="E172" s="205"/>
      <c r="F172" s="205"/>
      <c r="G172" s="205"/>
    </row>
    <row r="173" customFormat="false" ht="12.75" hidden="false" customHeight="false" outlineLevel="0" collapsed="false">
      <c r="A173" s="205"/>
      <c r="B173" s="205"/>
      <c r="C173" s="205"/>
      <c r="D173" s="205"/>
      <c r="E173" s="205"/>
      <c r="F173" s="205"/>
      <c r="G173" s="205"/>
    </row>
    <row r="174" customFormat="false" ht="12.75" hidden="false" customHeight="false" outlineLevel="0" collapsed="false">
      <c r="A174" s="205"/>
      <c r="B174" s="205"/>
      <c r="C174" s="205"/>
      <c r="D174" s="205"/>
      <c r="E174" s="205"/>
      <c r="F174" s="205"/>
      <c r="G174" s="205"/>
    </row>
    <row r="175" customFormat="false" ht="12.75" hidden="false" customHeight="false" outlineLevel="0" collapsed="false">
      <c r="A175" s="205"/>
      <c r="B175" s="205"/>
      <c r="C175" s="205"/>
      <c r="D175" s="205"/>
      <c r="E175" s="205"/>
      <c r="F175" s="205"/>
      <c r="G175" s="205"/>
    </row>
    <row r="176" customFormat="false" ht="12.75" hidden="false" customHeight="false" outlineLevel="0" collapsed="false">
      <c r="A176" s="205"/>
      <c r="B176" s="205"/>
      <c r="C176" s="205"/>
      <c r="D176" s="205"/>
      <c r="E176" s="205"/>
      <c r="F176" s="205"/>
      <c r="G176" s="205"/>
    </row>
    <row r="177" customFormat="false" ht="12.75" hidden="false" customHeight="false" outlineLevel="0" collapsed="false">
      <c r="A177" s="205"/>
      <c r="B177" s="205"/>
      <c r="C177" s="205"/>
      <c r="D177" s="205"/>
      <c r="E177" s="205"/>
      <c r="F177" s="205"/>
      <c r="G177" s="205"/>
    </row>
    <row r="178" customFormat="false" ht="12.75" hidden="false" customHeight="false" outlineLevel="0" collapsed="false">
      <c r="A178" s="205"/>
      <c r="B178" s="205"/>
      <c r="C178" s="205"/>
      <c r="D178" s="205"/>
      <c r="E178" s="205"/>
      <c r="F178" s="205"/>
      <c r="G178" s="205"/>
    </row>
    <row r="179" customFormat="false" ht="12.75" hidden="false" customHeight="false" outlineLevel="0" collapsed="false">
      <c r="A179" s="205"/>
      <c r="B179" s="205"/>
      <c r="C179" s="205"/>
      <c r="D179" s="205"/>
      <c r="E179" s="205"/>
      <c r="F179" s="205"/>
      <c r="G179" s="205"/>
    </row>
    <row r="180" customFormat="false" ht="12.75" hidden="false" customHeight="false" outlineLevel="0" collapsed="false">
      <c r="A180" s="205"/>
      <c r="B180" s="205"/>
      <c r="C180" s="205"/>
      <c r="D180" s="205"/>
      <c r="E180" s="205"/>
      <c r="F180" s="205"/>
      <c r="G180" s="205"/>
    </row>
    <row r="181" customFormat="false" ht="12.75" hidden="false" customHeight="false" outlineLevel="0" collapsed="false">
      <c r="A181" s="205"/>
      <c r="B181" s="205"/>
      <c r="C181" s="205"/>
      <c r="D181" s="205"/>
      <c r="E181" s="205"/>
      <c r="F181" s="205"/>
      <c r="G181" s="205"/>
    </row>
    <row r="182" customFormat="false" ht="12.75" hidden="false" customHeight="false" outlineLevel="0" collapsed="false">
      <c r="A182" s="205"/>
      <c r="B182" s="205"/>
      <c r="C182" s="205"/>
      <c r="D182" s="205"/>
      <c r="E182" s="205"/>
      <c r="F182" s="205"/>
      <c r="G182" s="205"/>
    </row>
  </sheetData>
  <mergeCells count="38">
    <mergeCell ref="A1:G2"/>
    <mergeCell ref="A3:G4"/>
    <mergeCell ref="A5:A6"/>
    <mergeCell ref="B5:B6"/>
    <mergeCell ref="C5:C6"/>
    <mergeCell ref="D5:F5"/>
    <mergeCell ref="G5:G6"/>
    <mergeCell ref="A8:C8"/>
    <mergeCell ref="A18:B18"/>
    <mergeCell ref="A25:B25"/>
    <mergeCell ref="A26:C26"/>
    <mergeCell ref="A32:B32"/>
    <mergeCell ref="A40:B40"/>
    <mergeCell ref="A41:C41"/>
    <mergeCell ref="A47:B47"/>
    <mergeCell ref="A55:B55"/>
    <mergeCell ref="A56:C56"/>
    <mergeCell ref="A62:B62"/>
    <mergeCell ref="A69:B69"/>
    <mergeCell ref="A70:C70"/>
    <mergeCell ref="A76:B76"/>
    <mergeCell ref="A84:B84"/>
    <mergeCell ref="A85:C85"/>
    <mergeCell ref="A91:B91"/>
    <mergeCell ref="A98:B98"/>
    <mergeCell ref="A99:C99"/>
    <mergeCell ref="A105:B105"/>
    <mergeCell ref="A113:B113"/>
    <mergeCell ref="A114:C114"/>
    <mergeCell ref="A120:B120"/>
    <mergeCell ref="A128:B128"/>
    <mergeCell ref="A129:C129"/>
    <mergeCell ref="A136:B136"/>
    <mergeCell ref="A144:B144"/>
    <mergeCell ref="A145:C145"/>
    <mergeCell ref="A152:B152"/>
    <mergeCell ref="A160:B160"/>
    <mergeCell ref="A162:G182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66FFFF"/>
    <pageSetUpPr fitToPage="true"/>
  </sheetPr>
  <dimension ref="A1:S79"/>
  <sheetViews>
    <sheetView showFormulas="false" showGridLines="true" showRowColHeaders="true" showZeros="true" rightToLeft="false" tabSelected="false" showOutlineSymbols="true" defaultGridColor="true" view="normal" topLeftCell="A58" colorId="64" zoomScale="118" zoomScaleNormal="118" zoomScalePageLayoutView="100" workbookViewId="0">
      <selection pane="topLeft" activeCell="A24" activeCellId="0" sqref="A24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2" width="35.42"/>
    <col collapsed="false" customWidth="true" hidden="false" outlineLevel="0" max="3" min="3" style="1" width="10.42"/>
    <col collapsed="false" customWidth="true" hidden="false" outlineLevel="0" max="4" min="4" style="1" width="7.29"/>
    <col collapsed="false" customWidth="true" hidden="false" outlineLevel="0" max="5" min="5" style="1" width="7.71"/>
    <col collapsed="false" customWidth="true" hidden="false" outlineLevel="0" max="6" min="6" style="1" width="7.42"/>
    <col collapsed="false" customWidth="true" hidden="false" outlineLevel="0" max="7" min="7" style="1" width="10.42"/>
    <col collapsed="false" customWidth="false" hidden="false" outlineLevel="0" max="1024" min="8" style="3" width="9.14"/>
  </cols>
  <sheetData>
    <row r="1" customFormat="false" ht="12.75" hidden="false" customHeight="false" outlineLevel="0" collapsed="false">
      <c r="A1" s="4"/>
      <c r="B1" s="4"/>
      <c r="C1" s="4"/>
      <c r="D1" s="4"/>
      <c r="E1" s="4"/>
      <c r="F1" s="4"/>
      <c r="G1" s="4"/>
    </row>
    <row r="2" customFormat="false" ht="12.75" hidden="false" customHeight="false" outlineLevel="0" collapsed="false">
      <c r="A2" s="4"/>
      <c r="B2" s="4"/>
      <c r="C2" s="4"/>
      <c r="D2" s="4"/>
      <c r="E2" s="4"/>
      <c r="F2" s="4"/>
      <c r="G2" s="4"/>
    </row>
    <row r="3" customFormat="false" ht="12.75" hidden="false" customHeight="false" outlineLevel="0" collapsed="false">
      <c r="A3" s="5"/>
      <c r="B3" s="5"/>
      <c r="C3" s="5"/>
      <c r="D3" s="5"/>
      <c r="E3" s="5"/>
      <c r="F3" s="5"/>
      <c r="G3" s="5"/>
    </row>
    <row r="4" customFormat="false" ht="20.25" hidden="false" customHeight="true" outlineLevel="0" collapsed="false">
      <c r="A4" s="5"/>
      <c r="B4" s="5"/>
      <c r="C4" s="5"/>
      <c r="D4" s="5"/>
      <c r="E4" s="5"/>
      <c r="F4" s="5"/>
      <c r="G4" s="5"/>
    </row>
    <row r="5" customFormat="false" ht="33.75" hidden="false" customHeight="true" outlineLevel="0" collapsed="false">
      <c r="A5" s="6"/>
      <c r="B5" s="6"/>
      <c r="C5" s="6"/>
      <c r="D5" s="6"/>
      <c r="E5" s="6"/>
      <c r="F5" s="6"/>
      <c r="G5" s="6"/>
    </row>
    <row r="6" customFormat="false" ht="34.5" hidden="false" customHeight="true" outlineLevel="0" collapsed="false">
      <c r="A6" s="6"/>
      <c r="B6" s="6"/>
      <c r="C6" s="6"/>
      <c r="D6" s="6"/>
      <c r="E6" s="6"/>
      <c r="F6" s="6"/>
      <c r="G6" s="6"/>
    </row>
    <row r="7" customFormat="false" ht="12.75" hidden="false" customHeight="false" outlineLevel="0" collapsed="false">
      <c r="A7" s="6"/>
      <c r="B7" s="6"/>
      <c r="C7" s="6"/>
      <c r="D7" s="6"/>
      <c r="E7" s="6"/>
      <c r="F7" s="6"/>
      <c r="G7" s="6"/>
    </row>
    <row r="8" customFormat="false" ht="27.95" hidden="false" customHeight="true" outlineLevel="0" collapsed="false">
      <c r="A8" s="7"/>
      <c r="B8" s="7"/>
      <c r="C8" s="7"/>
      <c r="D8" s="8"/>
      <c r="E8" s="8"/>
      <c r="F8" s="8"/>
      <c r="G8" s="8"/>
    </row>
    <row r="9" customFormat="false" ht="12.8" hidden="false" customHeight="false" outlineLevel="0" collapsed="false">
      <c r="A9" s="6"/>
      <c r="B9" s="7"/>
      <c r="C9" s="7"/>
      <c r="D9" s="8"/>
      <c r="E9" s="8"/>
      <c r="F9" s="8"/>
      <c r="G9" s="8"/>
    </row>
    <row r="10" customFormat="false" ht="12.8" hidden="false" customHeight="false" outlineLevel="0" collapsed="false">
      <c r="A10" s="9"/>
      <c r="B10" s="10"/>
      <c r="C10" s="9"/>
      <c r="D10" s="11"/>
      <c r="E10" s="11"/>
      <c r="F10" s="11"/>
      <c r="G10" s="11"/>
    </row>
    <row r="11" customFormat="false" ht="12.8" hidden="false" customHeight="false" outlineLevel="0" collapsed="false">
      <c r="A11" s="9"/>
      <c r="B11" s="10"/>
      <c r="C11" s="9"/>
      <c r="D11" s="11"/>
      <c r="E11" s="11"/>
      <c r="F11" s="11"/>
      <c r="G11" s="11"/>
    </row>
    <row r="12" customFormat="false" ht="12.8" hidden="false" customHeight="false" outlineLevel="0" collapsed="false">
      <c r="A12" s="9"/>
      <c r="B12" s="10"/>
      <c r="C12" s="9"/>
      <c r="D12" s="11"/>
      <c r="E12" s="11"/>
      <c r="F12" s="11"/>
      <c r="G12" s="11"/>
    </row>
    <row r="13" customFormat="false" ht="12.8" hidden="false" customHeight="false" outlineLevel="0" collapsed="false">
      <c r="A13" s="9"/>
      <c r="B13" s="10"/>
      <c r="C13" s="9"/>
      <c r="D13" s="11"/>
      <c r="E13" s="11"/>
      <c r="F13" s="11"/>
      <c r="G13" s="11"/>
    </row>
    <row r="14" customFormat="false" ht="12.8" hidden="true" customHeight="false" outlineLevel="0" collapsed="false">
      <c r="A14" s="12"/>
      <c r="B14" s="10"/>
      <c r="C14" s="12"/>
      <c r="D14" s="11"/>
      <c r="E14" s="11"/>
      <c r="F14" s="11"/>
      <c r="G14" s="11"/>
    </row>
    <row r="15" customFormat="false" ht="12.8" hidden="true" customHeight="false" outlineLevel="0" collapsed="false">
      <c r="A15" s="9"/>
      <c r="B15" s="10"/>
      <c r="C15" s="9"/>
      <c r="D15" s="11"/>
      <c r="E15" s="11"/>
      <c r="F15" s="11"/>
      <c r="G15" s="11"/>
    </row>
    <row r="16" customFormat="false" ht="12.8" hidden="false" customHeight="false" outlineLevel="0" collapsed="false">
      <c r="A16" s="13"/>
      <c r="B16" s="13"/>
      <c r="C16" s="6"/>
      <c r="D16" s="11"/>
      <c r="E16" s="11"/>
      <c r="F16" s="11"/>
      <c r="G16" s="11"/>
    </row>
    <row r="17" customFormat="false" ht="27.95" hidden="false" customHeight="true" outlineLevel="0" collapsed="false">
      <c r="A17" s="7"/>
      <c r="B17" s="7"/>
      <c r="C17" s="7"/>
      <c r="D17" s="8"/>
      <c r="E17" s="8"/>
      <c r="F17" s="8"/>
      <c r="G17" s="8"/>
    </row>
    <row r="18" customFormat="false" ht="12.8" hidden="false" customHeight="false" outlineLevel="0" collapsed="false">
      <c r="A18" s="6"/>
      <c r="B18" s="7"/>
      <c r="C18" s="7"/>
      <c r="D18" s="8"/>
      <c r="E18" s="8"/>
      <c r="F18" s="8"/>
      <c r="G18" s="8"/>
    </row>
    <row r="19" customFormat="false" ht="12.8" hidden="false" customHeight="false" outlineLevel="0" collapsed="false">
      <c r="A19" s="9"/>
      <c r="B19" s="10"/>
      <c r="C19" s="9"/>
      <c r="D19" s="11"/>
      <c r="E19" s="11"/>
      <c r="F19" s="11"/>
      <c r="G19" s="11"/>
    </row>
    <row r="20" customFormat="false" ht="12.8" hidden="false" customHeight="false" outlineLevel="0" collapsed="false">
      <c r="A20" s="9"/>
      <c r="B20" s="10"/>
      <c r="C20" s="9"/>
      <c r="D20" s="11"/>
      <c r="E20" s="11"/>
      <c r="F20" s="11"/>
      <c r="G20" s="11"/>
    </row>
    <row r="21" customFormat="false" ht="12.8" hidden="false" customHeight="false" outlineLevel="0" collapsed="false">
      <c r="A21" s="9"/>
      <c r="B21" s="10"/>
      <c r="C21" s="9"/>
      <c r="D21" s="11"/>
      <c r="E21" s="11"/>
      <c r="F21" s="11"/>
      <c r="G21" s="11"/>
    </row>
    <row r="22" customFormat="false" ht="12.8" hidden="false" customHeight="false" outlineLevel="0" collapsed="false">
      <c r="A22" s="9"/>
      <c r="B22" s="10"/>
      <c r="C22" s="9"/>
      <c r="D22" s="11"/>
      <c r="E22" s="11"/>
      <c r="F22" s="11"/>
      <c r="G22" s="11"/>
    </row>
    <row r="23" customFormat="false" ht="12.8" hidden="false" customHeight="false" outlineLevel="0" collapsed="false">
      <c r="A23" s="13"/>
      <c r="B23" s="13"/>
      <c r="C23" s="6"/>
      <c r="D23" s="11"/>
      <c r="E23" s="11"/>
      <c r="F23" s="11"/>
      <c r="G23" s="11"/>
    </row>
    <row r="24" customFormat="false" ht="27.95" hidden="false" customHeight="true" outlineLevel="0" collapsed="false">
      <c r="A24" s="7"/>
      <c r="B24" s="7"/>
      <c r="C24" s="7"/>
      <c r="D24" s="8"/>
      <c r="E24" s="8"/>
      <c r="F24" s="8"/>
      <c r="G24" s="8"/>
    </row>
    <row r="25" customFormat="false" ht="12.75" hidden="false" customHeight="false" outlineLevel="0" collapsed="false">
      <c r="A25" s="6"/>
      <c r="B25" s="7"/>
      <c r="C25" s="7"/>
      <c r="D25" s="8"/>
      <c r="E25" s="8"/>
      <c r="F25" s="8"/>
      <c r="G25" s="8"/>
    </row>
    <row r="26" customFormat="false" ht="12.75" hidden="false" customHeight="false" outlineLevel="0" collapsed="false">
      <c r="A26" s="9"/>
      <c r="B26" s="10"/>
      <c r="C26" s="9"/>
      <c r="D26" s="11"/>
      <c r="E26" s="11"/>
      <c r="F26" s="11"/>
      <c r="G26" s="11"/>
    </row>
    <row r="27" customFormat="false" ht="12.75" hidden="false" customHeight="false" outlineLevel="0" collapsed="false">
      <c r="A27" s="9"/>
      <c r="B27" s="10"/>
      <c r="C27" s="9"/>
      <c r="D27" s="11"/>
      <c r="E27" s="11"/>
      <c r="F27" s="11"/>
      <c r="G27" s="11"/>
    </row>
    <row r="28" customFormat="false" ht="24" hidden="false" customHeight="true" outlineLevel="0" collapsed="false">
      <c r="A28" s="9"/>
      <c r="B28" s="10"/>
      <c r="C28" s="9"/>
      <c r="D28" s="11"/>
      <c r="E28" s="11"/>
      <c r="F28" s="11"/>
      <c r="G28" s="11"/>
    </row>
    <row r="29" customFormat="false" ht="12.75" hidden="false" customHeight="false" outlineLevel="0" collapsed="false">
      <c r="A29" s="9"/>
      <c r="B29" s="10"/>
      <c r="C29" s="9"/>
      <c r="D29" s="11"/>
      <c r="E29" s="11"/>
      <c r="F29" s="11"/>
      <c r="G29" s="11"/>
    </row>
    <row r="30" customFormat="false" ht="12.75" hidden="false" customHeight="false" outlineLevel="0" collapsed="false">
      <c r="A30" s="13"/>
      <c r="B30" s="13"/>
      <c r="C30" s="6"/>
      <c r="D30" s="11"/>
      <c r="E30" s="11"/>
      <c r="F30" s="11"/>
      <c r="G30" s="11"/>
    </row>
    <row r="31" customFormat="false" ht="27.95" hidden="false" customHeight="true" outlineLevel="0" collapsed="false">
      <c r="A31" s="7"/>
      <c r="B31" s="7"/>
      <c r="C31" s="7"/>
      <c r="D31" s="8"/>
      <c r="E31" s="8"/>
      <c r="F31" s="8"/>
      <c r="G31" s="8"/>
    </row>
    <row r="32" customFormat="false" ht="12.8" hidden="false" customHeight="false" outlineLevel="0" collapsed="false">
      <c r="A32" s="6"/>
      <c r="B32" s="7"/>
      <c r="C32" s="6"/>
      <c r="D32" s="8"/>
      <c r="E32" s="8"/>
      <c r="F32" s="8"/>
      <c r="G32" s="8"/>
    </row>
    <row r="33" customFormat="false" ht="12.8" hidden="false" customHeight="false" outlineLevel="0" collapsed="false">
      <c r="A33" s="9"/>
      <c r="B33" s="10"/>
      <c r="C33" s="9"/>
      <c r="D33" s="11"/>
      <c r="E33" s="11"/>
      <c r="F33" s="11"/>
      <c r="G33" s="11"/>
    </row>
    <row r="34" customFormat="false" ht="12.8" hidden="false" customHeight="false" outlineLevel="0" collapsed="false">
      <c r="A34" s="9"/>
      <c r="B34" s="10"/>
      <c r="C34" s="9"/>
      <c r="D34" s="11"/>
      <c r="E34" s="11"/>
      <c r="F34" s="11"/>
      <c r="G34" s="11"/>
    </row>
    <row r="35" customFormat="false" ht="12.8" hidden="false" customHeight="false" outlineLevel="0" collapsed="false">
      <c r="A35" s="9"/>
      <c r="B35" s="10"/>
      <c r="C35" s="9"/>
      <c r="D35" s="11"/>
      <c r="E35" s="11"/>
      <c r="F35" s="11"/>
      <c r="G35" s="11"/>
    </row>
    <row r="36" customFormat="false" ht="15" hidden="false" customHeight="true" outlineLevel="0" collapsed="false">
      <c r="A36" s="12"/>
      <c r="B36" s="10"/>
      <c r="C36" s="9"/>
      <c r="D36" s="11"/>
      <c r="E36" s="11"/>
      <c r="F36" s="11"/>
      <c r="G36" s="11"/>
    </row>
    <row r="37" customFormat="false" ht="15" hidden="false" customHeight="true" outlineLevel="0" collapsed="false">
      <c r="A37" s="13"/>
      <c r="B37" s="13"/>
      <c r="C37" s="6"/>
      <c r="D37" s="11"/>
      <c r="E37" s="11"/>
      <c r="F37" s="11"/>
      <c r="G37" s="11"/>
    </row>
    <row r="38" customFormat="false" ht="27.95" hidden="false" customHeight="true" outlineLevel="0" collapsed="false">
      <c r="A38" s="7"/>
      <c r="B38" s="7"/>
      <c r="C38" s="7"/>
      <c r="D38" s="8"/>
      <c r="E38" s="8"/>
      <c r="F38" s="8"/>
      <c r="G38" s="8"/>
    </row>
    <row r="39" customFormat="false" ht="12.75" hidden="false" customHeight="false" outlineLevel="0" collapsed="false">
      <c r="A39" s="6"/>
      <c r="B39" s="7"/>
      <c r="C39" s="6"/>
      <c r="D39" s="8"/>
      <c r="E39" s="8"/>
      <c r="F39" s="8"/>
      <c r="G39" s="8"/>
    </row>
    <row r="40" customFormat="false" ht="12.75" hidden="false" customHeight="false" outlineLevel="0" collapsed="false">
      <c r="A40" s="9"/>
      <c r="B40" s="10"/>
      <c r="C40" s="9"/>
      <c r="D40" s="11"/>
      <c r="E40" s="11"/>
      <c r="F40" s="11"/>
      <c r="G40" s="11"/>
    </row>
    <row r="41" customFormat="false" ht="12.75" hidden="false" customHeight="false" outlineLevel="0" collapsed="false">
      <c r="A41" s="9"/>
      <c r="B41" s="10"/>
      <c r="C41" s="9"/>
      <c r="D41" s="11"/>
      <c r="E41" s="11"/>
      <c r="F41" s="11"/>
      <c r="G41" s="11"/>
    </row>
    <row r="42" customFormat="false" ht="12.75" hidden="false" customHeight="false" outlineLevel="0" collapsed="false">
      <c r="A42" s="9"/>
      <c r="B42" s="10"/>
      <c r="C42" s="9"/>
      <c r="D42" s="11"/>
      <c r="E42" s="11"/>
      <c r="F42" s="11"/>
      <c r="G42" s="11"/>
    </row>
    <row r="43" customFormat="false" ht="13.5" hidden="false" customHeight="true" outlineLevel="0" collapsed="false">
      <c r="A43" s="12"/>
      <c r="B43" s="10"/>
      <c r="C43" s="9"/>
      <c r="D43" s="11"/>
      <c r="E43" s="11"/>
      <c r="F43" s="11"/>
      <c r="G43" s="11"/>
    </row>
    <row r="44" customFormat="false" ht="12.75" hidden="false" customHeight="false" outlineLevel="0" collapsed="false">
      <c r="A44" s="13"/>
      <c r="B44" s="13"/>
      <c r="C44" s="6"/>
      <c r="D44" s="11"/>
      <c r="E44" s="11"/>
      <c r="F44" s="11"/>
      <c r="G44" s="11"/>
    </row>
    <row r="45" customFormat="false" ht="27.95" hidden="false" customHeight="true" outlineLevel="0" collapsed="false">
      <c r="A45" s="7"/>
      <c r="B45" s="7"/>
      <c r="C45" s="7"/>
      <c r="D45" s="8"/>
      <c r="E45" s="8"/>
      <c r="F45" s="8"/>
      <c r="G45" s="8"/>
    </row>
    <row r="46" customFormat="false" ht="12.75" hidden="false" customHeight="false" outlineLevel="0" collapsed="false">
      <c r="A46" s="6"/>
      <c r="B46" s="7"/>
      <c r="C46" s="6"/>
      <c r="D46" s="8"/>
      <c r="E46" s="8"/>
      <c r="F46" s="8"/>
      <c r="G46" s="8"/>
    </row>
    <row r="47" customFormat="false" ht="12.75" hidden="false" customHeight="false" outlineLevel="0" collapsed="false">
      <c r="A47" s="9"/>
      <c r="B47" s="10"/>
      <c r="C47" s="9"/>
      <c r="D47" s="11"/>
      <c r="E47" s="11"/>
      <c r="F47" s="11"/>
      <c r="G47" s="11"/>
    </row>
    <row r="48" customFormat="false" ht="24.75" hidden="false" customHeight="true" outlineLevel="0" collapsed="false">
      <c r="A48" s="9"/>
      <c r="B48" s="10"/>
      <c r="C48" s="9"/>
      <c r="D48" s="11"/>
      <c r="E48" s="11"/>
      <c r="F48" s="11"/>
      <c r="G48" s="11"/>
      <c r="H48" s="14"/>
      <c r="I48" s="14"/>
      <c r="J48" s="14"/>
      <c r="K48" s="14"/>
    </row>
    <row r="49" customFormat="false" ht="12" hidden="false" customHeight="true" outlineLevel="0" collapsed="false">
      <c r="A49" s="9"/>
      <c r="B49" s="10"/>
      <c r="C49" s="9"/>
      <c r="D49" s="11"/>
      <c r="E49" s="11"/>
      <c r="F49" s="11"/>
      <c r="G49" s="11"/>
      <c r="H49" s="14"/>
      <c r="I49" s="14"/>
      <c r="J49" s="14"/>
      <c r="K49" s="14"/>
    </row>
    <row r="50" customFormat="false" ht="12.75" hidden="false" customHeight="false" outlineLevel="0" collapsed="false">
      <c r="A50" s="12"/>
      <c r="B50" s="10"/>
      <c r="C50" s="9"/>
      <c r="D50" s="11"/>
      <c r="E50" s="11"/>
      <c r="F50" s="11"/>
      <c r="G50" s="11"/>
      <c r="H50" s="14"/>
      <c r="I50" s="14"/>
      <c r="J50" s="14"/>
    </row>
    <row r="51" customFormat="false" ht="12.75" hidden="false" customHeight="false" outlineLevel="0" collapsed="false">
      <c r="A51" s="13"/>
      <c r="B51" s="13"/>
      <c r="C51" s="6"/>
      <c r="D51" s="11"/>
      <c r="E51" s="11"/>
      <c r="F51" s="11"/>
      <c r="G51" s="11"/>
    </row>
    <row r="52" customFormat="false" ht="27.95" hidden="false" customHeight="true" outlineLevel="0" collapsed="false">
      <c r="A52" s="7"/>
      <c r="B52" s="7"/>
      <c r="C52" s="7"/>
      <c r="D52" s="8"/>
      <c r="E52" s="8"/>
      <c r="F52" s="8"/>
      <c r="G52" s="8"/>
    </row>
    <row r="53" customFormat="false" ht="12.75" hidden="false" customHeight="false" outlineLevel="0" collapsed="false">
      <c r="A53" s="6"/>
      <c r="B53" s="7"/>
      <c r="C53" s="7"/>
      <c r="D53" s="8"/>
      <c r="E53" s="8"/>
      <c r="F53" s="8"/>
      <c r="G53" s="8"/>
    </row>
    <row r="54" customFormat="false" ht="17.25" hidden="false" customHeight="true" outlineLevel="0" collapsed="false">
      <c r="A54" s="9"/>
      <c r="B54" s="10"/>
      <c r="C54" s="9"/>
      <c r="D54" s="11"/>
      <c r="E54" s="11"/>
      <c r="F54" s="11"/>
      <c r="G54" s="11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customFormat="false" ht="22.5" hidden="false" customHeight="true" outlineLevel="0" collapsed="false">
      <c r="A55" s="9"/>
      <c r="B55" s="10"/>
      <c r="C55" s="9"/>
      <c r="D55" s="11"/>
      <c r="E55" s="11"/>
      <c r="F55" s="11"/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customFormat="false" ht="14.25" hidden="false" customHeight="true" outlineLevel="0" collapsed="false">
      <c r="A56" s="9"/>
      <c r="B56" s="10"/>
      <c r="C56" s="9"/>
      <c r="D56" s="11"/>
      <c r="E56" s="11"/>
      <c r="F56" s="11"/>
      <c r="G56" s="11"/>
      <c r="H56" s="1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customFormat="false" ht="14.25" hidden="false" customHeight="true" outlineLevel="0" collapsed="false">
      <c r="A57" s="9"/>
      <c r="B57" s="10"/>
      <c r="C57" s="9"/>
      <c r="D57" s="11"/>
      <c r="E57" s="11"/>
      <c r="F57" s="11"/>
      <c r="G57" s="11"/>
      <c r="H57" s="16"/>
      <c r="I57" s="16"/>
      <c r="J57" s="16"/>
      <c r="K57" s="16"/>
      <c r="L57" s="16"/>
      <c r="M57" s="16"/>
      <c r="N57" s="16"/>
      <c r="O57" s="1"/>
      <c r="P57" s="16"/>
      <c r="Q57" s="16"/>
      <c r="R57" s="17"/>
    </row>
    <row r="58" customFormat="false" ht="13.5" hidden="false" customHeight="true" outlineLevel="0" collapsed="false">
      <c r="A58" s="13"/>
      <c r="B58" s="13"/>
      <c r="C58" s="6"/>
      <c r="D58" s="11"/>
      <c r="E58" s="11"/>
      <c r="F58" s="11"/>
      <c r="G58" s="11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customFormat="false" ht="27.95" hidden="false" customHeight="true" outlineLevel="0" collapsed="false">
      <c r="A59" s="7"/>
      <c r="B59" s="7"/>
      <c r="C59" s="7"/>
      <c r="D59" s="8"/>
      <c r="E59" s="8"/>
      <c r="F59" s="8"/>
      <c r="G59" s="8"/>
    </row>
    <row r="60" customFormat="false" ht="12.75" hidden="false" customHeight="false" outlineLevel="0" collapsed="false">
      <c r="A60" s="6"/>
      <c r="B60" s="7"/>
      <c r="C60" s="7"/>
      <c r="D60" s="8"/>
      <c r="E60" s="8"/>
      <c r="F60" s="8"/>
      <c r="G60" s="8"/>
    </row>
    <row r="61" customFormat="false" ht="12.75" hidden="false" customHeight="false" outlineLevel="0" collapsed="false">
      <c r="A61" s="9"/>
      <c r="B61" s="10"/>
      <c r="C61" s="9"/>
      <c r="D61" s="11"/>
      <c r="E61" s="11"/>
      <c r="F61" s="11"/>
      <c r="G61" s="11"/>
    </row>
    <row r="62" customFormat="false" ht="12.75" hidden="false" customHeight="false" outlineLevel="0" collapsed="false">
      <c r="A62" s="9"/>
      <c r="B62" s="10"/>
      <c r="C62" s="9"/>
      <c r="D62" s="11"/>
      <c r="E62" s="11"/>
      <c r="F62" s="11"/>
      <c r="G62" s="11"/>
    </row>
    <row r="63" customFormat="false" ht="12.75" hidden="false" customHeight="false" outlineLevel="0" collapsed="false">
      <c r="A63" s="9"/>
      <c r="B63" s="10"/>
      <c r="C63" s="12"/>
      <c r="D63" s="11"/>
      <c r="E63" s="11"/>
      <c r="F63" s="11"/>
      <c r="G63" s="11"/>
    </row>
    <row r="64" customFormat="false" ht="12.75" hidden="false" customHeight="false" outlineLevel="0" collapsed="false">
      <c r="A64" s="9"/>
      <c r="B64" s="10"/>
      <c r="C64" s="9"/>
      <c r="D64" s="11"/>
      <c r="E64" s="11"/>
      <c r="F64" s="11"/>
      <c r="G64" s="11"/>
    </row>
    <row r="65" customFormat="false" ht="12.75" hidden="false" customHeight="false" outlineLevel="0" collapsed="false">
      <c r="A65" s="13"/>
      <c r="B65" s="13"/>
      <c r="C65" s="34"/>
      <c r="D65" s="11"/>
      <c r="E65" s="11"/>
      <c r="F65" s="11"/>
      <c r="G65" s="11"/>
    </row>
    <row r="66" customFormat="false" ht="27.95" hidden="false" customHeight="true" outlineLevel="0" collapsed="false">
      <c r="A66" s="7"/>
      <c r="B66" s="7"/>
      <c r="C66" s="7"/>
      <c r="D66" s="8"/>
      <c r="E66" s="8"/>
      <c r="F66" s="8"/>
      <c r="G66" s="8"/>
    </row>
    <row r="67" customFormat="false" ht="12.75" hidden="false" customHeight="false" outlineLevel="0" collapsed="false">
      <c r="A67" s="6"/>
      <c r="B67" s="7"/>
      <c r="C67" s="6"/>
      <c r="D67" s="8"/>
      <c r="E67" s="8"/>
      <c r="F67" s="8"/>
      <c r="G67" s="8"/>
    </row>
    <row r="68" customFormat="false" ht="17.25" hidden="false" customHeight="true" outlineLevel="0" collapsed="false">
      <c r="A68" s="9"/>
      <c r="B68" s="10"/>
      <c r="C68" s="9"/>
      <c r="D68" s="11"/>
      <c r="E68" s="11"/>
      <c r="F68" s="11"/>
      <c r="G68" s="11"/>
    </row>
    <row r="69" customFormat="false" ht="12.8" hidden="false" customHeight="false" outlineLevel="0" collapsed="false">
      <c r="A69" s="9"/>
      <c r="B69" s="10"/>
      <c r="C69" s="9"/>
      <c r="D69" s="11"/>
      <c r="E69" s="11"/>
      <c r="F69" s="11"/>
      <c r="G69" s="11"/>
    </row>
    <row r="70" customFormat="false" ht="12.8" hidden="false" customHeight="false" outlineLevel="0" collapsed="false">
      <c r="A70" s="9"/>
      <c r="B70" s="10"/>
      <c r="C70" s="12"/>
      <c r="D70" s="11"/>
      <c r="E70" s="11"/>
      <c r="F70" s="11"/>
      <c r="G70" s="11"/>
    </row>
    <row r="71" customFormat="false" ht="12.8" hidden="false" customHeight="false" outlineLevel="0" collapsed="false">
      <c r="A71" s="9"/>
      <c r="B71" s="10"/>
      <c r="C71" s="9"/>
      <c r="D71" s="11"/>
      <c r="E71" s="11"/>
      <c r="F71" s="11"/>
      <c r="G71" s="11"/>
    </row>
    <row r="72" customFormat="false" ht="12.8" hidden="false" customHeight="false" outlineLevel="0" collapsed="false">
      <c r="A72" s="13"/>
      <c r="B72" s="13"/>
      <c r="C72" s="34"/>
      <c r="D72" s="11"/>
      <c r="E72" s="11"/>
      <c r="F72" s="11"/>
      <c r="G72" s="11"/>
    </row>
    <row r="73" customFormat="false" ht="27.95" hidden="false" customHeight="true" outlineLevel="0" collapsed="false">
      <c r="A73" s="7"/>
      <c r="B73" s="7"/>
      <c r="C73" s="7"/>
      <c r="D73" s="8"/>
      <c r="E73" s="8"/>
      <c r="F73" s="8"/>
      <c r="G73" s="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22"/>
    </row>
    <row r="74" customFormat="false" ht="12.75" hidden="false" customHeight="false" outlineLevel="0" collapsed="false">
      <c r="A74" s="6"/>
      <c r="B74" s="7"/>
      <c r="C74" s="7"/>
      <c r="D74" s="8"/>
      <c r="E74" s="8"/>
      <c r="F74" s="8"/>
      <c r="G74" s="8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22"/>
    </row>
    <row r="75" customFormat="false" ht="12.75" hidden="false" customHeight="false" outlineLevel="0" collapsed="false">
      <c r="A75" s="9"/>
      <c r="B75" s="10"/>
      <c r="C75" s="9"/>
      <c r="D75" s="11"/>
      <c r="E75" s="11"/>
      <c r="F75" s="11"/>
      <c r="G75" s="11"/>
      <c r="H75" s="16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customFormat="false" ht="12.75" hidden="false" customHeight="false" outlineLevel="0" collapsed="false">
      <c r="A76" s="9"/>
      <c r="B76" s="10"/>
      <c r="C76" s="9"/>
      <c r="D76" s="11"/>
      <c r="E76" s="11"/>
      <c r="F76" s="11"/>
      <c r="G76" s="1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customFormat="false" ht="12.75" hidden="false" customHeight="false" outlineLevel="0" collapsed="false">
      <c r="A77" s="9"/>
      <c r="B77" s="10"/>
      <c r="C77" s="12"/>
      <c r="D77" s="11"/>
      <c r="E77" s="11"/>
      <c r="F77" s="11"/>
      <c r="G77" s="11"/>
      <c r="H77" s="16"/>
      <c r="I77" s="16"/>
      <c r="J77" s="16"/>
      <c r="K77" s="16"/>
      <c r="L77" s="16"/>
      <c r="M77" s="16"/>
      <c r="N77" s="16"/>
      <c r="O77" s="1"/>
      <c r="P77" s="16"/>
      <c r="Q77" s="16"/>
      <c r="R77" s="1"/>
    </row>
    <row r="78" customFormat="false" ht="12.75" hidden="false" customHeight="false" outlineLevel="0" collapsed="false">
      <c r="A78" s="9"/>
      <c r="B78" s="10"/>
      <c r="C78" s="33"/>
      <c r="D78" s="11"/>
      <c r="E78" s="11"/>
      <c r="F78" s="11"/>
      <c r="G78" s="11"/>
      <c r="H78" s="16"/>
      <c r="I78" s="16"/>
      <c r="J78" s="16"/>
      <c r="K78" s="16"/>
      <c r="L78" s="16"/>
      <c r="M78" s="16"/>
      <c r="N78" s="16"/>
      <c r="O78" s="1"/>
      <c r="P78" s="16"/>
      <c r="Q78" s="16"/>
      <c r="R78" s="17"/>
    </row>
    <row r="79" customFormat="false" ht="12.75" hidden="false" customHeight="false" outlineLevel="0" collapsed="false">
      <c r="A79" s="13"/>
      <c r="B79" s="13"/>
      <c r="C79" s="34"/>
      <c r="D79" s="11"/>
      <c r="E79" s="11"/>
      <c r="F79" s="11"/>
      <c r="G79" s="11"/>
      <c r="H79" s="16"/>
      <c r="I79" s="16"/>
      <c r="J79" s="16"/>
      <c r="K79" s="16"/>
      <c r="L79" s="16"/>
      <c r="M79" s="16"/>
      <c r="N79" s="16"/>
      <c r="O79" s="17"/>
      <c r="P79" s="16"/>
      <c r="Q79" s="16"/>
      <c r="R79" s="17"/>
    </row>
  </sheetData>
  <mergeCells count="33">
    <mergeCell ref="A1:G2"/>
    <mergeCell ref="A3:G4"/>
    <mergeCell ref="A5:A6"/>
    <mergeCell ref="B5:B6"/>
    <mergeCell ref="C5:C6"/>
    <mergeCell ref="D5:F5"/>
    <mergeCell ref="G5:G6"/>
    <mergeCell ref="A8:C8"/>
    <mergeCell ref="B9:C9"/>
    <mergeCell ref="A16:B16"/>
    <mergeCell ref="A17:C17"/>
    <mergeCell ref="B18:C18"/>
    <mergeCell ref="A23:B23"/>
    <mergeCell ref="A24:C24"/>
    <mergeCell ref="B25:C25"/>
    <mergeCell ref="A30:B30"/>
    <mergeCell ref="A31:C31"/>
    <mergeCell ref="A37:B37"/>
    <mergeCell ref="A38:C38"/>
    <mergeCell ref="A44:B44"/>
    <mergeCell ref="A45:C45"/>
    <mergeCell ref="A51:B51"/>
    <mergeCell ref="A52:C52"/>
    <mergeCell ref="B53:C53"/>
    <mergeCell ref="A58:B58"/>
    <mergeCell ref="A59:C59"/>
    <mergeCell ref="B60:C60"/>
    <mergeCell ref="A65:B65"/>
    <mergeCell ref="A66:C66"/>
    <mergeCell ref="A72:B72"/>
    <mergeCell ref="A73:C73"/>
    <mergeCell ref="B74:C74"/>
    <mergeCell ref="A79:B79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2018-10-04T05:32:37Z</dcterms:created>
  <dc:creator>Овсянникова Оксана</dc:creator>
  <dc:description/>
  <dc:language>ru-RU</dc:language>
  <cp:lastModifiedBy/>
  <cp:lastPrinted>2023-06-27T10:35:48Z</cp:lastPrinted>
  <dcterms:modified xsi:type="dcterms:W3CDTF">2023-10-09T17:30:25Z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